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drawings/drawing8.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1.xml" ContentType="application/vnd.openxmlformats-officedocument.drawing+xml"/>
  <Override PartName="/xl/drawings/drawing1.xml" ContentType="application/vnd.openxmlformats-officedocument.drawing+xml"/>
  <Override PartName="/xl/drawings/drawing6.xml" ContentType="application/vnd.openxmlformats-officedocument.drawing+xml"/>
  <Override PartName="/xl/drawings/drawing17.xml" ContentType="application/vnd.openxmlformats-officedocument.drawing+xml"/>
  <Override PartName="/xl/drawings/drawing14.xml" ContentType="application/vnd.openxmlformats-officedocument.drawing+xml"/>
  <Override PartName="/xl/drawings/drawing10.xml" ContentType="application/vnd.openxmlformats-officedocument.drawing+xml"/>
  <Override PartName="/xl/drawings/drawing16.xml" ContentType="application/vnd.openxmlformats-officedocument.drawing+xml"/>
  <Override PartName="/xl/drawings/drawing7.xml" ContentType="application/vnd.openxmlformats-officedocument.drawing+xml"/>
  <Override PartName="/xl/drawings/drawing15.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3.xml" ContentType="application/vnd.openxmlformats-officedocument.drawing+xml"/>
  <Override PartName="/xl/drawings/drawing9.xml" ContentType="application/vnd.openxmlformats-officedocument.drawing+xml"/>
  <Override PartName="/xl/drawings/drawing12.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worksheets/sheet1.xml" ContentType="application/vnd.openxmlformats-officedocument.spreadsheetml.worksheet+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metadata.xml" ContentType="application/vnd.openxmlformats-officedocument.spreadsheetml.sheetMetadata+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https://theermgroup.sharepoint.com/sites/E4Tech-DocumentCo-AuthoringCentre/E4tech Consulting/Projects/Current/BEIS-UK-H2StandardCalculator/WIP/Send to BEIS/"/>
    </mc:Choice>
  </mc:AlternateContent>
  <xr:revisionPtr revIDLastSave="753" documentId="8_{C7995A7C-5244-4763-97E7-0D314DDBE563}" xr6:coauthVersionLast="47" xr6:coauthVersionMax="47" xr10:uidLastSave="{336B7641-C5A8-4205-9F43-DC63891FAD31}"/>
  <bookViews>
    <workbookView xWindow="28680" yWindow="-120" windowWidth="29040" windowHeight="15840" tabRatio="875" xr2:uid="{41DC56F9-1BFD-4B09-ABD5-954175663F7D}"/>
  </bookViews>
  <sheets>
    <sheet name="Title" sheetId="131" r:id="rId1"/>
    <sheet name="Navigation" sheetId="119" r:id="rId2"/>
    <sheet name="Guidance Initial_questions" sheetId="14" r:id="rId3"/>
    <sheet name="Guidance Processing" sheetId="127" r:id="rId4"/>
    <sheet name="Guidance Feedstock dLUC" sheetId="126" r:id="rId5"/>
    <sheet name="Guidance Summary GHG" sheetId="125" r:id="rId6"/>
    <sheet name="Initial_questions" sheetId="37" r:id="rId7"/>
    <sheet name="System_Boundary" sheetId="8" r:id="rId8"/>
    <sheet name="Dashboard" sheetId="128" r:id="rId9"/>
    <sheet name="Units" sheetId="7" r:id="rId10"/>
    <sheet name="Assumptions" sheetId="25" r:id="rId11"/>
    <sheet name="Default data" sheetId="71" r:id="rId12"/>
    <sheet name="GHG_ELECTROLYSIS" sheetId="66" r:id="rId13"/>
    <sheet name="GHG_FOSSIL_REFORM_CCS" sheetId="69" r:id="rId14"/>
    <sheet name="GHG_BIOMETHANE_REFORM" sheetId="70" r:id="rId15"/>
    <sheet name="GHG_BIOMASS_GASIFICATION" sheetId="39" r:id="rId16"/>
    <sheet name="GHG_WASTE_GASIFICATION" sheetId="68" r:id="rId17"/>
    <sheet name="GHG_GENERIC_OTHER" sheetId="115" r:id="rId18"/>
    <sheet name="Electrolysis" sheetId="107" r:id="rId19"/>
    <sheet name="NG_Collection" sheetId="15" r:id="rId20"/>
    <sheet name="NG_Transport" sheetId="89" r:id="rId21"/>
    <sheet name="NG_Processing" sheetId="90" r:id="rId22"/>
    <sheet name="NG_Further_Transport" sheetId="91" r:id="rId23"/>
    <sheet name="NG_Reforming_CCS" sheetId="4" r:id="rId24"/>
    <sheet name="Biogas_Feedstock_Cultivation" sheetId="117" r:id="rId25"/>
    <sheet name="Biogas_Feedstock_Harvesting" sheetId="121" r:id="rId26"/>
    <sheet name="Biogas_Feedstock_Collection" sheetId="92" r:id="rId27"/>
    <sheet name="Biogas_Feedstock_Transport" sheetId="93" r:id="rId28"/>
    <sheet name="Biogas+Biomethane_Upgrading" sheetId="94" r:id="rId29"/>
    <sheet name="Biomethane_Transport" sheetId="95" r:id="rId30"/>
    <sheet name="Biomethane_Reforming_CCS" sheetId="85" r:id="rId31"/>
    <sheet name="Biomass_Cultivation" sheetId="118" r:id="rId32"/>
    <sheet name="Biomass_Harvesting" sheetId="122" r:id="rId33"/>
    <sheet name="Biomass_Collection" sheetId="96" r:id="rId34"/>
    <sheet name="Biomass_Transport" sheetId="97" r:id="rId35"/>
    <sheet name="Biomass_Pre-Processing" sheetId="99" r:id="rId36"/>
    <sheet name="Biomass_Further_Transport" sheetId="100" r:id="rId37"/>
    <sheet name="Biomass_Gasification_CCS" sheetId="86" r:id="rId38"/>
    <sheet name="Waste_Collection" sheetId="101" r:id="rId39"/>
    <sheet name="Waste_Transport" sheetId="102" r:id="rId40"/>
    <sheet name="Waste_Pre-Processing" sheetId="103" r:id="rId41"/>
    <sheet name="Waste_Further_Transport" sheetId="104" r:id="rId42"/>
    <sheet name="Waste_Gasification_CCS" sheetId="87" r:id="rId43"/>
    <sheet name="Generic_Feedstock_Cultivation" sheetId="120" r:id="rId44"/>
    <sheet name="Generic_Feedstock_Harvesting" sheetId="123" r:id="rId45"/>
    <sheet name="Generic_Feedstock_Collection" sheetId="110" r:id="rId46"/>
    <sheet name="Generic_Feedstock_Transport" sheetId="111" r:id="rId47"/>
    <sheet name="Generic_Pre-Processing" sheetId="112" r:id="rId48"/>
    <sheet name="Generic_Further_Transport" sheetId="116" r:id="rId49"/>
    <sheet name="Generic_Conversion" sheetId="114" r:id="rId50"/>
  </sheets>
  <externalReferences>
    <externalReference r:id="rId51"/>
  </externalReferences>
  <definedNames>
    <definedName name="___thinkcellH0MAAAAAAAAAAAAA7dNG6tch00eipRX895PDVA" hidden="1">#REF!</definedName>
    <definedName name="__1234Graph_A" hidden="1">[1]Depreciation!#REF!</definedName>
    <definedName name="__123Graph_A" hidden="1">[1]Depreciation!#REF!</definedName>
    <definedName name="__123Graph_B" hidden="1">[1]Depreciation!#REF!</definedName>
    <definedName name="__123Graph_C" hidden="1">[1]Depreciation!#REF!</definedName>
    <definedName name="__123Graph_D" hidden="1">[1]Depreciation!#REF!</definedName>
    <definedName name="__123Graph_E" hidden="1">[1]Depreciation!#REF!</definedName>
    <definedName name="__123Graph_F" hidden="1">[1]Depreciation!#REF!</definedName>
    <definedName name="__123Graph_X" hidden="1">[1]Depreciation!#REF!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_Table1_In1" hidden="1">#REF!</definedName>
    <definedName name="_Table1_Out" hidden="1">#REF!</definedName>
    <definedName name="aadsds"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nscount" hidden="1">1</definedName>
    <definedName name="bbl_to_USgal">Units!$C$25</definedName>
    <definedName name="bio">Units!$M$120:$M$126</definedName>
    <definedName name="Biomethane">Units!$O$120:$O$126</definedName>
    <definedName name="Capture">Units!$H$120:$H$125</definedName>
    <definedName name="Case">Units!$U$120:$U$123</definedName>
    <definedName name="CBWorkbookPriority" hidden="1">-1631513760</definedName>
    <definedName name="Commission">Units!$S$120:$S$133</definedName>
    <definedName name="Conversion_kWh_to_MJ">Units!$C$8</definedName>
    <definedName name="Credit">Units!$I$120:$I$123</definedName>
    <definedName name="Data">Units!$E$120:$E$123</definedName>
    <definedName name="Data_location">Units!$W$120:$W$123</definedName>
    <definedName name="electro">Units!$N$120:$N$126</definedName>
    <definedName name="Feedstock">Units!$J$120:$J$129</definedName>
    <definedName name="Flow_units">Units!$X$120:$X$121</definedName>
    <definedName name="Fossil">Units!$F$120:$F$125</definedName>
    <definedName name="Gas">Units!$G$120:$G$123</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ydrogen_flow">Initial_questions!$E$75</definedName>
    <definedName name="iluc">Units!$R$120:$R$126</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39343.6573842593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kWh_to_MJ">Units!$C$8</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Units!$D$120:$D$122</definedName>
    <definedName name="Master_Switch">Units!$B$139</definedName>
    <definedName name="mb_inputLocation" hidden="1">#REF!</definedName>
    <definedName name="Offset">Units!$K$120:$K$122</definedName>
    <definedName name="Output_pressure">Initial_questions!$E$76</definedName>
    <definedName name="Output_purity">Initial_questions!$E$77</definedName>
    <definedName name="Output_temperature">Initial_questions!$E$78</definedName>
    <definedName name="Pathway">Initial_questions!$E$21</definedName>
    <definedName name="Pathway_choice">Initial_questions!$E$21</definedName>
    <definedName name="Pathway_list">Units!$B$120:$B$136</definedName>
    <definedName name="Proj_or_def">Units!$P$120:$P$122</definedName>
    <definedName name="Proj_or_mix">Units!$Q$120:$Q$122</definedName>
    <definedName name="Risk">Units!$V$120:$V$122</definedName>
    <definedName name="RiskAfterRecalcMacro" hidden="1">"BetweenIterationsMacro"</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2009000</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Status">Units!$C$120:$C$122</definedName>
    <definedName name="Sustainability">Units!$L$120:$L$123</definedName>
    <definedName name="Switch">Units!$T$120:$T$121</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rn.My._.estimate._.report." localSheetId="9" hidden="1">{"Equipment",#N/A,FALSE,"A";"Summary",#N/A,FALSE,"B"}</definedName>
    <definedName name="wrn.My._.estimate._.report." hidden="1">{"Equipment",#N/A,FALSE,"A";"Summary",#N/A,FALSE,"B"}</definedName>
  </definedNames>
  <calcPr calcId="191028"/>
  <customWorkbookViews>
    <customWorkbookView name="Waste gasification" guid="{43B6AE9C-E429-4506-98F3-C388B54AB8B6}" maximized="1" xWindow="-11" yWindow="-11" windowWidth="1942" windowHeight="1042" tabRatio="875" activeSheetId="37"/>
    <customWorkbookView name="Other" guid="{D41C0D8C-591E-4B34-99B3-B45BA51A58EC}" maximized="1" xWindow="-11" yWindow="-11" windowWidth="1942" windowHeight="1042" tabRatio="875" activeSheetId="37"/>
    <customWorkbookView name="Fossil reforming with CCS" guid="{8F590910-6C03-4233-9C41-6540BF2DE453}" maximized="1" xWindow="-11" yWindow="-11" windowWidth="1942" windowHeight="1042" tabRatio="875" activeSheetId="37"/>
    <customWorkbookView name="Electrolysis" guid="{55CEC4CC-9BBF-4F2D-BA17-E94F4B26FAC5}" maximized="1" xWindow="-11" yWindow="-11" windowWidth="1942" windowHeight="1042" tabRatio="875" activeSheetId="37"/>
    <customWorkbookView name="Biomass gasification" guid="{7735C88E-3A13-4DCF-BB32-4D20A306A8BB}" maximized="1" xWindow="-11" yWindow="-11" windowWidth="1942" windowHeight="1042" tabRatio="875" activeSheetId="37"/>
    <customWorkbookView name="Biomethane reforming" guid="{27B9E3C6-8189-41E0-896B-02A30393FDC0}" maximized="1" xWindow="-11" yWindow="-11" windowWidth="1942" windowHeight="1042" tabRatio="875" activeSheetId="37"/>
    <customWorkbookView name="All tabs" guid="{ED9AC919-98EB-43A3-A158-23FD7D007D30}" maximized="1" xWindow="-11" yWindow="-11" windowWidth="1942" windowHeight="1042" tabRatio="875" activeSheetId="13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1" i="37" l="1"/>
  <c r="E41" i="37"/>
  <c r="E35" i="37" a="1"/>
  <c r="E35" i="37" s="1"/>
  <c r="E36" i="37" a="1"/>
  <c r="E36" i="37" s="1"/>
  <c r="E37" i="37" a="1"/>
  <c r="E37" i="37" s="1"/>
  <c r="E38" i="37" a="1"/>
  <c r="E38" i="37" s="1"/>
  <c r="D81" i="37"/>
  <c r="D80" i="37"/>
  <c r="B57" i="37" a="1"/>
  <c r="B57" i="37" s="1"/>
  <c r="C64" i="37" a="1"/>
  <c r="C64" i="37" s="1"/>
  <c r="C63" i="37" a="1"/>
  <c r="C63" i="37" s="1"/>
  <c r="C62" i="37" a="1"/>
  <c r="C62" i="37" s="1"/>
  <c r="C61" i="37" a="1"/>
  <c r="C61" i="37" s="1"/>
  <c r="C60" i="37" a="1"/>
  <c r="C60" i="37" s="1"/>
  <c r="C59" i="37" a="1"/>
  <c r="C59" i="37" s="1"/>
  <c r="C58" i="37" a="1"/>
  <c r="C58" i="37" s="1"/>
  <c r="C57" i="37" a="1"/>
  <c r="C57" i="37" s="1"/>
  <c r="A1" i="66"/>
  <c r="A1" i="115"/>
  <c r="A1" i="68"/>
  <c r="A1" i="70"/>
  <c r="A1" i="69"/>
  <c r="A1" i="39"/>
  <c r="A1" i="107"/>
  <c r="B21" i="128" a="1"/>
  <c r="B21" i="128" s="1"/>
  <c r="E9" i="114"/>
  <c r="E9" i="87"/>
  <c r="E9" i="86"/>
  <c r="E9" i="85"/>
  <c r="E9" i="4"/>
  <c r="E9" i="107"/>
  <c r="D4" i="128" l="1"/>
  <c r="D145" i="71"/>
  <c r="O3" i="69"/>
  <c r="P26" i="68"/>
  <c r="Q26" i="68"/>
  <c r="P30" i="68"/>
  <c r="Q30" i="68"/>
  <c r="P31" i="68"/>
  <c r="Q31" i="68"/>
  <c r="P32" i="68"/>
  <c r="Q32" i="68"/>
  <c r="P33" i="68"/>
  <c r="Q33" i="68"/>
  <c r="P34" i="68"/>
  <c r="Q34" i="68"/>
  <c r="P35" i="68"/>
  <c r="Q35" i="68"/>
  <c r="P39" i="68"/>
  <c r="Q39" i="68"/>
  <c r="O39" i="68"/>
  <c r="O35" i="68"/>
  <c r="O34" i="68"/>
  <c r="O33" i="68"/>
  <c r="O32" i="68"/>
  <c r="O31" i="68"/>
  <c r="O30" i="68"/>
  <c r="O26" i="68"/>
  <c r="O14" i="68"/>
  <c r="P18" i="68"/>
  <c r="Q18" i="68"/>
  <c r="P9" i="68"/>
  <c r="Q9" i="68"/>
  <c r="P10" i="68"/>
  <c r="Q10" i="68"/>
  <c r="P11" i="68"/>
  <c r="Q11" i="68"/>
  <c r="P12" i="68"/>
  <c r="Q12" i="68"/>
  <c r="P13" i="68"/>
  <c r="Q13" i="68"/>
  <c r="P14" i="68"/>
  <c r="Q14" i="68"/>
  <c r="O18" i="68"/>
  <c r="O13" i="68"/>
  <c r="O12" i="68"/>
  <c r="O11" i="68"/>
  <c r="O10" i="68"/>
  <c r="O9" i="68"/>
  <c r="P5" i="68"/>
  <c r="Q5" i="68"/>
  <c r="O5" i="68"/>
  <c r="P18" i="39"/>
  <c r="Q18" i="39"/>
  <c r="P9" i="39"/>
  <c r="Q9" i="39"/>
  <c r="P10" i="39"/>
  <c r="Q10" i="39"/>
  <c r="P11" i="39"/>
  <c r="Q11" i="39"/>
  <c r="P12" i="39"/>
  <c r="Q12" i="39"/>
  <c r="P13" i="39"/>
  <c r="Q13" i="39"/>
  <c r="P14" i="39"/>
  <c r="Q14" i="39"/>
  <c r="O10" i="39"/>
  <c r="O11" i="39"/>
  <c r="O12" i="39"/>
  <c r="O13" i="39"/>
  <c r="O14" i="39"/>
  <c r="O18" i="39"/>
  <c r="O9" i="39"/>
  <c r="O5" i="39"/>
  <c r="P5" i="39"/>
  <c r="Q5" i="39"/>
  <c r="O5" i="70"/>
  <c r="P18" i="70"/>
  <c r="Q18" i="70"/>
  <c r="O18" i="70"/>
  <c r="O14" i="70"/>
  <c r="P9" i="70"/>
  <c r="Q9" i="70"/>
  <c r="P10" i="70"/>
  <c r="Q10" i="70"/>
  <c r="P11" i="70"/>
  <c r="Q11" i="70"/>
  <c r="P12" i="70"/>
  <c r="Q12" i="70"/>
  <c r="P13" i="70"/>
  <c r="Q13" i="70"/>
  <c r="P14" i="70"/>
  <c r="Q14" i="70"/>
  <c r="O13" i="70"/>
  <c r="O12" i="70"/>
  <c r="O11" i="70"/>
  <c r="O10" i="70"/>
  <c r="O9" i="70"/>
  <c r="Q3" i="70"/>
  <c r="P5" i="70"/>
  <c r="D40" i="37" l="1"/>
  <c r="D39" i="37"/>
  <c r="L71" i="114" l="1"/>
  <c r="L70" i="114"/>
  <c r="L69" i="114"/>
  <c r="L68" i="114"/>
  <c r="L67" i="114"/>
  <c r="L66" i="114"/>
  <c r="L65" i="114"/>
  <c r="L64" i="114"/>
  <c r="L61" i="114"/>
  <c r="L56" i="114"/>
  <c r="L55" i="114"/>
  <c r="L54" i="114"/>
  <c r="L53" i="114"/>
  <c r="L52" i="114"/>
  <c r="L51" i="114"/>
  <c r="L48" i="114"/>
  <c r="L47" i="114"/>
  <c r="L46" i="114"/>
  <c r="L45" i="114"/>
  <c r="L44" i="114"/>
  <c r="L41" i="114"/>
  <c r="L40" i="114"/>
  <c r="L39" i="114"/>
  <c r="L38" i="114"/>
  <c r="L37" i="114"/>
  <c r="L36" i="114"/>
  <c r="L35" i="114"/>
  <c r="L34" i="114"/>
  <c r="L33" i="114"/>
  <c r="L32" i="114"/>
  <c r="L29" i="114"/>
  <c r="L28" i="114"/>
  <c r="L27" i="114"/>
  <c r="L26" i="114"/>
  <c r="L25" i="114"/>
  <c r="L24" i="114"/>
  <c r="L23" i="114"/>
  <c r="L22" i="114"/>
  <c r="L21" i="114"/>
  <c r="L20" i="114"/>
  <c r="L17" i="114"/>
  <c r="L16" i="114"/>
  <c r="L15" i="114"/>
  <c r="L14" i="114"/>
  <c r="L13" i="114"/>
  <c r="L12" i="114"/>
  <c r="L11" i="114"/>
  <c r="L10" i="114"/>
  <c r="L9" i="114"/>
  <c r="L8" i="114"/>
  <c r="L31" i="116"/>
  <c r="L30" i="116"/>
  <c r="L29" i="116"/>
  <c r="L28" i="116"/>
  <c r="L27" i="116"/>
  <c r="L26" i="116"/>
  <c r="L25" i="116"/>
  <c r="L24" i="116"/>
  <c r="L23" i="116"/>
  <c r="L22" i="116"/>
  <c r="L21" i="116"/>
  <c r="L20" i="116"/>
  <c r="L17" i="116"/>
  <c r="L16" i="116"/>
  <c r="L15" i="116"/>
  <c r="L14" i="116"/>
  <c r="L13" i="116"/>
  <c r="L12" i="116"/>
  <c r="L11" i="116"/>
  <c r="L10" i="116"/>
  <c r="L9" i="116"/>
  <c r="L8" i="116"/>
  <c r="L34" i="112"/>
  <c r="L33" i="112"/>
  <c r="L32" i="112"/>
  <c r="L31" i="112"/>
  <c r="L30" i="112"/>
  <c r="L29" i="112"/>
  <c r="L28" i="112"/>
  <c r="L27" i="112"/>
  <c r="L26" i="112"/>
  <c r="L25" i="112"/>
  <c r="L24" i="112"/>
  <c r="L23" i="112"/>
  <c r="L22" i="112"/>
  <c r="L21" i="112"/>
  <c r="L20" i="112"/>
  <c r="L17" i="112"/>
  <c r="L16" i="112"/>
  <c r="L15" i="112"/>
  <c r="L14" i="112"/>
  <c r="L13" i="112"/>
  <c r="L12" i="112"/>
  <c r="L11" i="112"/>
  <c r="L10" i="112"/>
  <c r="L9" i="112"/>
  <c r="L8" i="112"/>
  <c r="L31" i="111"/>
  <c r="L30" i="111"/>
  <c r="L29" i="111"/>
  <c r="L28" i="111"/>
  <c r="L27" i="111"/>
  <c r="L26" i="111"/>
  <c r="L25" i="111"/>
  <c r="L24" i="111"/>
  <c r="L23" i="111"/>
  <c r="L22" i="111"/>
  <c r="L21" i="111"/>
  <c r="L20" i="111"/>
  <c r="L17" i="111"/>
  <c r="L16" i="111"/>
  <c r="L15" i="111"/>
  <c r="L14" i="111"/>
  <c r="L13" i="111"/>
  <c r="L12" i="111"/>
  <c r="L11" i="111"/>
  <c r="L10" i="111"/>
  <c r="L9" i="111"/>
  <c r="L8" i="111"/>
  <c r="L31" i="110"/>
  <c r="L30" i="110"/>
  <c r="L29" i="110"/>
  <c r="L28" i="110"/>
  <c r="L27" i="110"/>
  <c r="L26" i="110"/>
  <c r="L25" i="110"/>
  <c r="L24" i="110"/>
  <c r="L23" i="110"/>
  <c r="L22" i="110"/>
  <c r="L21" i="110"/>
  <c r="L20" i="110"/>
  <c r="L17" i="110"/>
  <c r="L16" i="110"/>
  <c r="L15" i="110"/>
  <c r="L14" i="110"/>
  <c r="L13" i="110"/>
  <c r="L12" i="110"/>
  <c r="L11" i="110"/>
  <c r="L10" i="110"/>
  <c r="L9" i="110"/>
  <c r="L8" i="110"/>
  <c r="L31" i="123"/>
  <c r="L30" i="123"/>
  <c r="L29" i="123"/>
  <c r="L28" i="123"/>
  <c r="L27" i="123"/>
  <c r="L26" i="123"/>
  <c r="L25" i="123"/>
  <c r="L24" i="123"/>
  <c r="L23" i="123"/>
  <c r="L22" i="123"/>
  <c r="L21" i="123"/>
  <c r="L20" i="123"/>
  <c r="L17" i="123"/>
  <c r="L16" i="123"/>
  <c r="L15" i="123"/>
  <c r="L14" i="123"/>
  <c r="L13" i="123"/>
  <c r="L12" i="123"/>
  <c r="L11" i="123"/>
  <c r="L10" i="123"/>
  <c r="L9" i="123"/>
  <c r="L8" i="123"/>
  <c r="L36" i="120"/>
  <c r="L35" i="120"/>
  <c r="L32" i="120"/>
  <c r="L31" i="120"/>
  <c r="L30" i="120"/>
  <c r="L29" i="120"/>
  <c r="L28" i="120"/>
  <c r="L27" i="120"/>
  <c r="L26" i="120"/>
  <c r="L25" i="120"/>
  <c r="L24" i="120"/>
  <c r="L23" i="120"/>
  <c r="L22" i="120"/>
  <c r="L21" i="120"/>
  <c r="L20" i="120"/>
  <c r="L17" i="120"/>
  <c r="L16" i="120"/>
  <c r="L15" i="120"/>
  <c r="L14" i="120"/>
  <c r="L13" i="120"/>
  <c r="L12" i="120"/>
  <c r="L11" i="120"/>
  <c r="L10" i="120"/>
  <c r="L9" i="120"/>
  <c r="L8" i="120"/>
  <c r="L99" i="87"/>
  <c r="L98" i="87"/>
  <c r="L97" i="87"/>
  <c r="L96" i="87"/>
  <c r="L95" i="87"/>
  <c r="L94" i="87"/>
  <c r="L93" i="87"/>
  <c r="L92" i="87"/>
  <c r="L88" i="87"/>
  <c r="L82" i="87"/>
  <c r="L81" i="87"/>
  <c r="L76" i="87"/>
  <c r="L75" i="87"/>
  <c r="L70" i="87"/>
  <c r="L69" i="87"/>
  <c r="L68" i="87"/>
  <c r="L67" i="87"/>
  <c r="L66" i="87"/>
  <c r="L65" i="87"/>
  <c r="L61" i="87"/>
  <c r="L60" i="87"/>
  <c r="L59" i="87"/>
  <c r="L55" i="87"/>
  <c r="L54" i="87"/>
  <c r="L53" i="87"/>
  <c r="L49" i="87"/>
  <c r="L48" i="87"/>
  <c r="L47" i="87"/>
  <c r="L43" i="87"/>
  <c r="L42" i="87"/>
  <c r="L41" i="87"/>
  <c r="L40" i="87"/>
  <c r="L39" i="87"/>
  <c r="L38" i="87"/>
  <c r="L37" i="87"/>
  <c r="L36" i="87"/>
  <c r="L35" i="87"/>
  <c r="L34" i="87"/>
  <c r="L30" i="87"/>
  <c r="L29" i="87"/>
  <c r="L28" i="87"/>
  <c r="L27" i="87"/>
  <c r="L26" i="87"/>
  <c r="L25" i="87"/>
  <c r="L24" i="87"/>
  <c r="L23" i="87"/>
  <c r="L22" i="87"/>
  <c r="L21" i="87"/>
  <c r="L17" i="87"/>
  <c r="L16" i="87"/>
  <c r="L15" i="87"/>
  <c r="L14" i="87"/>
  <c r="L13" i="87"/>
  <c r="L12" i="87"/>
  <c r="L11" i="87"/>
  <c r="L10" i="87"/>
  <c r="L9" i="87"/>
  <c r="L8" i="87"/>
  <c r="L31" i="104"/>
  <c r="L30" i="104"/>
  <c r="L29" i="104"/>
  <c r="L28" i="104"/>
  <c r="L27" i="104"/>
  <c r="L26" i="104"/>
  <c r="L25" i="104"/>
  <c r="L24" i="104"/>
  <c r="L23" i="104"/>
  <c r="L22" i="104"/>
  <c r="L21" i="104"/>
  <c r="L20" i="104"/>
  <c r="L17" i="104"/>
  <c r="L16" i="104"/>
  <c r="L15" i="104"/>
  <c r="L14" i="104"/>
  <c r="L13" i="104"/>
  <c r="L12" i="104"/>
  <c r="L11" i="104"/>
  <c r="L10" i="104"/>
  <c r="L9" i="104"/>
  <c r="L8" i="104"/>
  <c r="L44" i="103"/>
  <c r="L43" i="103"/>
  <c r="L42" i="103"/>
  <c r="L39" i="103"/>
  <c r="L38" i="103"/>
  <c r="L37" i="103"/>
  <c r="L34" i="103"/>
  <c r="L33" i="103"/>
  <c r="L32" i="103"/>
  <c r="L31" i="103"/>
  <c r="L30" i="103"/>
  <c r="L29" i="103"/>
  <c r="L28" i="103"/>
  <c r="L27" i="103"/>
  <c r="L26" i="103"/>
  <c r="L25" i="103"/>
  <c r="L24" i="103"/>
  <c r="L23" i="103"/>
  <c r="L22" i="103"/>
  <c r="L21" i="103"/>
  <c r="L20" i="103"/>
  <c r="L17" i="103"/>
  <c r="L16" i="103"/>
  <c r="L15" i="103"/>
  <c r="L14" i="103"/>
  <c r="L13" i="103"/>
  <c r="L12" i="103"/>
  <c r="L11" i="103"/>
  <c r="L10" i="103"/>
  <c r="L9" i="103"/>
  <c r="L8" i="103"/>
  <c r="L31" i="102"/>
  <c r="L30" i="102"/>
  <c r="L29" i="102"/>
  <c r="L28" i="102"/>
  <c r="L27" i="102"/>
  <c r="L26" i="102"/>
  <c r="L25" i="102"/>
  <c r="L24" i="102"/>
  <c r="L23" i="102"/>
  <c r="L22" i="102"/>
  <c r="L21" i="102"/>
  <c r="L20" i="102"/>
  <c r="L17" i="102"/>
  <c r="L16" i="102"/>
  <c r="L15" i="102"/>
  <c r="L14" i="102"/>
  <c r="L13" i="102"/>
  <c r="L12" i="102"/>
  <c r="L11" i="102"/>
  <c r="L10" i="102"/>
  <c r="L9" i="102"/>
  <c r="L8" i="102"/>
  <c r="L31" i="101"/>
  <c r="L30" i="101"/>
  <c r="L29" i="101"/>
  <c r="L28" i="101"/>
  <c r="L27" i="101"/>
  <c r="L26" i="101"/>
  <c r="L25" i="101"/>
  <c r="L24" i="101"/>
  <c r="L23" i="101"/>
  <c r="L22" i="101"/>
  <c r="L21" i="101"/>
  <c r="L20" i="101"/>
  <c r="L17" i="101"/>
  <c r="L16" i="101"/>
  <c r="L15" i="101"/>
  <c r="L14" i="101"/>
  <c r="L13" i="101"/>
  <c r="L12" i="101"/>
  <c r="L11" i="101"/>
  <c r="L10" i="101"/>
  <c r="L9" i="101"/>
  <c r="L8" i="101"/>
  <c r="L75" i="86"/>
  <c r="L74" i="86"/>
  <c r="L73" i="86"/>
  <c r="L72" i="86"/>
  <c r="L71" i="86"/>
  <c r="L70" i="86"/>
  <c r="L69" i="86"/>
  <c r="L68" i="86"/>
  <c r="L65" i="86"/>
  <c r="L64" i="86"/>
  <c r="L63" i="86"/>
  <c r="L58" i="86"/>
  <c r="L57" i="86"/>
  <c r="L56" i="86"/>
  <c r="L55" i="86"/>
  <c r="L54" i="86"/>
  <c r="L53" i="86"/>
  <c r="L50" i="86"/>
  <c r="L49" i="86"/>
  <c r="L48" i="86"/>
  <c r="L47" i="86"/>
  <c r="L46" i="86"/>
  <c r="L43" i="86"/>
  <c r="L42" i="86"/>
  <c r="L41" i="86"/>
  <c r="L40" i="86"/>
  <c r="L39" i="86"/>
  <c r="L38" i="86"/>
  <c r="L37" i="86"/>
  <c r="L36" i="86"/>
  <c r="L35" i="86"/>
  <c r="L34" i="86"/>
  <c r="L30" i="86"/>
  <c r="L29" i="86"/>
  <c r="L28" i="86"/>
  <c r="L27" i="86"/>
  <c r="L26" i="86"/>
  <c r="L25" i="86"/>
  <c r="L24" i="86"/>
  <c r="L23" i="86"/>
  <c r="L22" i="86"/>
  <c r="L21" i="86"/>
  <c r="L17" i="86"/>
  <c r="L16" i="86"/>
  <c r="L15" i="86"/>
  <c r="L14" i="86"/>
  <c r="L13" i="86"/>
  <c r="L12" i="86"/>
  <c r="L11" i="86"/>
  <c r="L10" i="86"/>
  <c r="L9" i="86"/>
  <c r="L8" i="86"/>
  <c r="L31" i="100"/>
  <c r="L30" i="100"/>
  <c r="L29" i="100"/>
  <c r="L28" i="100"/>
  <c r="L27" i="100"/>
  <c r="L26" i="100"/>
  <c r="L25" i="100"/>
  <c r="L24" i="100"/>
  <c r="L23" i="100"/>
  <c r="L22" i="100"/>
  <c r="L21" i="100"/>
  <c r="L20" i="100"/>
  <c r="L17" i="100"/>
  <c r="L16" i="100"/>
  <c r="L15" i="100"/>
  <c r="L14" i="100"/>
  <c r="L13" i="100"/>
  <c r="L12" i="100"/>
  <c r="L11" i="100"/>
  <c r="L10" i="100"/>
  <c r="L9" i="100"/>
  <c r="L8" i="100"/>
  <c r="L34" i="99"/>
  <c r="L33" i="99"/>
  <c r="L32" i="99"/>
  <c r="L31" i="99"/>
  <c r="L30" i="99"/>
  <c r="L29" i="99"/>
  <c r="L28" i="99"/>
  <c r="L27" i="99"/>
  <c r="L26" i="99"/>
  <c r="L25" i="99"/>
  <c r="L24" i="99"/>
  <c r="L23" i="99"/>
  <c r="L22" i="99"/>
  <c r="L21" i="99"/>
  <c r="L20" i="99"/>
  <c r="L17" i="99"/>
  <c r="L16" i="99"/>
  <c r="L15" i="99"/>
  <c r="L14" i="99"/>
  <c r="L13" i="99"/>
  <c r="L12" i="99"/>
  <c r="L11" i="99"/>
  <c r="L10" i="99"/>
  <c r="L9" i="99"/>
  <c r="L8" i="99"/>
  <c r="L31" i="97"/>
  <c r="L30" i="97"/>
  <c r="L29" i="97"/>
  <c r="L28" i="97"/>
  <c r="L27" i="97"/>
  <c r="L26" i="97"/>
  <c r="L25" i="97"/>
  <c r="L24" i="97"/>
  <c r="L23" i="97"/>
  <c r="L22" i="97"/>
  <c r="L21" i="97"/>
  <c r="L20" i="97"/>
  <c r="L17" i="97"/>
  <c r="L16" i="97"/>
  <c r="L15" i="97"/>
  <c r="L14" i="97"/>
  <c r="L13" i="97"/>
  <c r="L12" i="97"/>
  <c r="L11" i="97"/>
  <c r="L10" i="97"/>
  <c r="L9" i="97"/>
  <c r="L8" i="97"/>
  <c r="L31" i="96"/>
  <c r="L30" i="96"/>
  <c r="L29" i="96"/>
  <c r="L28" i="96"/>
  <c r="L27" i="96"/>
  <c r="L26" i="96"/>
  <c r="L25" i="96"/>
  <c r="L24" i="96"/>
  <c r="L23" i="96"/>
  <c r="L22" i="96"/>
  <c r="L21" i="96"/>
  <c r="L20" i="96"/>
  <c r="L17" i="96"/>
  <c r="L16" i="96"/>
  <c r="L15" i="96"/>
  <c r="L14" i="96"/>
  <c r="L13" i="96"/>
  <c r="L12" i="96"/>
  <c r="L11" i="96"/>
  <c r="L10" i="96"/>
  <c r="L9" i="96"/>
  <c r="L8" i="96"/>
  <c r="L31" i="122"/>
  <c r="L30" i="122"/>
  <c r="L29" i="122"/>
  <c r="L28" i="122"/>
  <c r="L27" i="122"/>
  <c r="L26" i="122"/>
  <c r="L25" i="122"/>
  <c r="L24" i="122"/>
  <c r="L23" i="122"/>
  <c r="L22" i="122"/>
  <c r="L21" i="122"/>
  <c r="L20" i="122"/>
  <c r="L17" i="122"/>
  <c r="L16" i="122"/>
  <c r="L15" i="122"/>
  <c r="L14" i="122"/>
  <c r="L13" i="122"/>
  <c r="L12" i="122"/>
  <c r="L11" i="122"/>
  <c r="L10" i="122"/>
  <c r="L9" i="122"/>
  <c r="L8" i="122"/>
  <c r="L36" i="118"/>
  <c r="L35" i="118"/>
  <c r="L32" i="118"/>
  <c r="L31" i="118"/>
  <c r="L30" i="118"/>
  <c r="L29" i="118"/>
  <c r="L28" i="118"/>
  <c r="L27" i="118"/>
  <c r="L26" i="118"/>
  <c r="L25" i="118"/>
  <c r="L24" i="118"/>
  <c r="L23" i="118"/>
  <c r="L22" i="118"/>
  <c r="L21" i="118"/>
  <c r="L20" i="118"/>
  <c r="L17" i="118"/>
  <c r="L16" i="118"/>
  <c r="L15" i="118"/>
  <c r="L14" i="118"/>
  <c r="L13" i="118"/>
  <c r="L12" i="118"/>
  <c r="L11" i="118"/>
  <c r="L10" i="118"/>
  <c r="L9" i="118"/>
  <c r="L8" i="118"/>
  <c r="L75" i="85"/>
  <c r="L74" i="85"/>
  <c r="L73" i="85"/>
  <c r="L72" i="85"/>
  <c r="L71" i="85"/>
  <c r="L70" i="85"/>
  <c r="L69" i="85"/>
  <c r="L68" i="85"/>
  <c r="L65" i="85"/>
  <c r="L64" i="85"/>
  <c r="L63" i="85"/>
  <c r="L58" i="85"/>
  <c r="L57" i="85"/>
  <c r="L56" i="85"/>
  <c r="L55" i="85"/>
  <c r="L54" i="85"/>
  <c r="L53" i="85"/>
  <c r="L50" i="85"/>
  <c r="L49" i="85"/>
  <c r="L48" i="85"/>
  <c r="L47" i="85"/>
  <c r="L46" i="85"/>
  <c r="L43" i="85"/>
  <c r="L42" i="85"/>
  <c r="L41" i="85"/>
  <c r="L40" i="85"/>
  <c r="L39" i="85"/>
  <c r="L38" i="85"/>
  <c r="L37" i="85"/>
  <c r="L36" i="85"/>
  <c r="L35" i="85"/>
  <c r="L34" i="85"/>
  <c r="L30" i="85"/>
  <c r="L29" i="85"/>
  <c r="L28" i="85"/>
  <c r="L27" i="85"/>
  <c r="L26" i="85"/>
  <c r="L25" i="85"/>
  <c r="L24" i="85"/>
  <c r="L23" i="85"/>
  <c r="L22" i="85"/>
  <c r="L21" i="85"/>
  <c r="L17" i="85"/>
  <c r="L16" i="85"/>
  <c r="L15" i="85"/>
  <c r="L14" i="85"/>
  <c r="L13" i="85"/>
  <c r="L12" i="85"/>
  <c r="L11" i="85"/>
  <c r="L10" i="85"/>
  <c r="L9" i="85"/>
  <c r="L8" i="85"/>
  <c r="L31" i="95"/>
  <c r="L30" i="95"/>
  <c r="L29" i="95"/>
  <c r="L28" i="95"/>
  <c r="L27" i="95"/>
  <c r="L26" i="95"/>
  <c r="L25" i="95"/>
  <c r="L24" i="95"/>
  <c r="L23" i="95"/>
  <c r="L22" i="95"/>
  <c r="L21" i="95"/>
  <c r="L20" i="95"/>
  <c r="L17" i="95"/>
  <c r="L16" i="95"/>
  <c r="L15" i="95"/>
  <c r="L14" i="95"/>
  <c r="L13" i="95"/>
  <c r="L12" i="95"/>
  <c r="L11" i="95"/>
  <c r="L10" i="95"/>
  <c r="L9" i="95"/>
  <c r="L8" i="95"/>
  <c r="L34" i="94"/>
  <c r="L33" i="94"/>
  <c r="L32" i="94"/>
  <c r="L31" i="94"/>
  <c r="L30" i="94"/>
  <c r="L29" i="94"/>
  <c r="L28" i="94"/>
  <c r="L27" i="94"/>
  <c r="L26" i="94"/>
  <c r="L25" i="94"/>
  <c r="L24" i="94"/>
  <c r="L23" i="94"/>
  <c r="L22" i="94"/>
  <c r="L21" i="94"/>
  <c r="L20" i="94"/>
  <c r="L17" i="94"/>
  <c r="L16" i="94"/>
  <c r="L15" i="94"/>
  <c r="L14" i="94"/>
  <c r="L13" i="94"/>
  <c r="L12" i="94"/>
  <c r="L11" i="94"/>
  <c r="L10" i="94"/>
  <c r="L9" i="94"/>
  <c r="L8" i="94"/>
  <c r="L31" i="93"/>
  <c r="L30" i="93"/>
  <c r="L29" i="93"/>
  <c r="L28" i="93"/>
  <c r="L27" i="93"/>
  <c r="L26" i="93"/>
  <c r="L25" i="93"/>
  <c r="L24" i="93"/>
  <c r="L23" i="93"/>
  <c r="L22" i="93"/>
  <c r="L21" i="93"/>
  <c r="L20" i="93"/>
  <c r="L17" i="93"/>
  <c r="L16" i="93"/>
  <c r="L15" i="93"/>
  <c r="L14" i="93"/>
  <c r="L13" i="93"/>
  <c r="L12" i="93"/>
  <c r="L11" i="93"/>
  <c r="L10" i="93"/>
  <c r="L9" i="93"/>
  <c r="L8" i="93"/>
  <c r="L31" i="92"/>
  <c r="L30" i="92"/>
  <c r="L29" i="92"/>
  <c r="L28" i="92"/>
  <c r="L27" i="92"/>
  <c r="L26" i="92"/>
  <c r="L25" i="92"/>
  <c r="L24" i="92"/>
  <c r="L23" i="92"/>
  <c r="L22" i="92"/>
  <c r="L21" i="92"/>
  <c r="L20" i="92"/>
  <c r="L17" i="92"/>
  <c r="L16" i="92"/>
  <c r="L15" i="92"/>
  <c r="L14" i="92"/>
  <c r="L13" i="92"/>
  <c r="L12" i="92"/>
  <c r="L11" i="92"/>
  <c r="L10" i="92"/>
  <c r="L9" i="92"/>
  <c r="L8" i="92"/>
  <c r="L31" i="121"/>
  <c r="L30" i="121"/>
  <c r="L29" i="121"/>
  <c r="L28" i="121"/>
  <c r="L27" i="121"/>
  <c r="L26" i="121"/>
  <c r="L25" i="121"/>
  <c r="L24" i="121"/>
  <c r="L23" i="121"/>
  <c r="L22" i="121"/>
  <c r="L21" i="121"/>
  <c r="L20" i="121"/>
  <c r="L17" i="121"/>
  <c r="L16" i="121"/>
  <c r="L15" i="121"/>
  <c r="L14" i="121"/>
  <c r="L13" i="121"/>
  <c r="L12" i="121"/>
  <c r="L11" i="121"/>
  <c r="L10" i="121"/>
  <c r="L9" i="121"/>
  <c r="L8" i="121"/>
  <c r="L36" i="117"/>
  <c r="L35" i="117"/>
  <c r="L32" i="117"/>
  <c r="L31" i="117"/>
  <c r="L30" i="117"/>
  <c r="L29" i="117"/>
  <c r="L28" i="117"/>
  <c r="L27" i="117"/>
  <c r="L26" i="117"/>
  <c r="L25" i="117"/>
  <c r="L24" i="117"/>
  <c r="L23" i="117"/>
  <c r="L22" i="117"/>
  <c r="L21" i="117"/>
  <c r="L20" i="117"/>
  <c r="L17" i="117"/>
  <c r="L16" i="117"/>
  <c r="L15" i="117"/>
  <c r="L14" i="117"/>
  <c r="L13" i="117"/>
  <c r="L12" i="117"/>
  <c r="L11" i="117"/>
  <c r="L10" i="117"/>
  <c r="L9" i="117"/>
  <c r="L8" i="117"/>
  <c r="L75" i="4"/>
  <c r="L74" i="4"/>
  <c r="L73" i="4"/>
  <c r="L72" i="4"/>
  <c r="L71" i="4"/>
  <c r="L70" i="4"/>
  <c r="L69" i="4"/>
  <c r="L68" i="4"/>
  <c r="L65" i="4"/>
  <c r="L64" i="4"/>
  <c r="L63" i="4"/>
  <c r="L62" i="4"/>
  <c r="L58" i="4"/>
  <c r="L57" i="4"/>
  <c r="L56" i="4"/>
  <c r="L55" i="4"/>
  <c r="L54" i="4"/>
  <c r="L53" i="4"/>
  <c r="L50" i="4"/>
  <c r="L49" i="4"/>
  <c r="L48" i="4"/>
  <c r="L47" i="4"/>
  <c r="L46" i="4"/>
  <c r="L43" i="4"/>
  <c r="L42" i="4"/>
  <c r="L41" i="4"/>
  <c r="L40" i="4"/>
  <c r="L39" i="4"/>
  <c r="L38" i="4"/>
  <c r="L37" i="4"/>
  <c r="L36" i="4"/>
  <c r="L35" i="4"/>
  <c r="L34" i="4"/>
  <c r="L30" i="4"/>
  <c r="L29" i="4"/>
  <c r="L28" i="4"/>
  <c r="L27" i="4"/>
  <c r="L26" i="4"/>
  <c r="L25" i="4"/>
  <c r="L24" i="4"/>
  <c r="L23" i="4"/>
  <c r="L22" i="4"/>
  <c r="L21" i="4"/>
  <c r="L17" i="4"/>
  <c r="L16" i="4"/>
  <c r="L15" i="4"/>
  <c r="L14" i="4"/>
  <c r="L13" i="4"/>
  <c r="L12" i="4"/>
  <c r="L11" i="4"/>
  <c r="L10" i="4"/>
  <c r="L9" i="4"/>
  <c r="L8" i="4"/>
  <c r="L31" i="91"/>
  <c r="L30" i="91"/>
  <c r="L29" i="91"/>
  <c r="L28" i="91"/>
  <c r="L27" i="91"/>
  <c r="L26" i="91"/>
  <c r="L25" i="91"/>
  <c r="L24" i="91"/>
  <c r="L23" i="91"/>
  <c r="L22" i="91"/>
  <c r="L21" i="91"/>
  <c r="L20" i="91"/>
  <c r="L17" i="91"/>
  <c r="L16" i="91"/>
  <c r="L15" i="91"/>
  <c r="L14" i="91"/>
  <c r="L13" i="91"/>
  <c r="L12" i="91"/>
  <c r="L11" i="91"/>
  <c r="L10" i="91"/>
  <c r="L9" i="91"/>
  <c r="L8" i="91"/>
  <c r="L32" i="90"/>
  <c r="L31" i="90"/>
  <c r="L30" i="90"/>
  <c r="L29" i="90"/>
  <c r="L28" i="90"/>
  <c r="L27" i="90"/>
  <c r="L26" i="90"/>
  <c r="L25" i="90"/>
  <c r="L24" i="90"/>
  <c r="L23" i="90"/>
  <c r="L22" i="90"/>
  <c r="L21" i="90"/>
  <c r="L20" i="90"/>
  <c r="L17" i="90"/>
  <c r="L16" i="90"/>
  <c r="L15" i="90"/>
  <c r="L14" i="90"/>
  <c r="L13" i="90"/>
  <c r="L12" i="90"/>
  <c r="L11" i="90"/>
  <c r="L10" i="90"/>
  <c r="L9" i="90"/>
  <c r="L8" i="90"/>
  <c r="L31" i="89"/>
  <c r="L30" i="89"/>
  <c r="L29" i="89"/>
  <c r="L28" i="89"/>
  <c r="L27" i="89"/>
  <c r="L26" i="89"/>
  <c r="L25" i="89"/>
  <c r="L24" i="89"/>
  <c r="L23" i="89"/>
  <c r="L22" i="89"/>
  <c r="L21" i="89"/>
  <c r="L20" i="89"/>
  <c r="L17" i="89"/>
  <c r="L16" i="89"/>
  <c r="L15" i="89"/>
  <c r="L14" i="89"/>
  <c r="L13" i="89"/>
  <c r="L12" i="89"/>
  <c r="L11" i="89"/>
  <c r="L10" i="89"/>
  <c r="L9" i="89"/>
  <c r="L8" i="89"/>
  <c r="L32" i="15"/>
  <c r="L31" i="15"/>
  <c r="L30" i="15"/>
  <c r="L29" i="15"/>
  <c r="L28" i="15"/>
  <c r="L27" i="15"/>
  <c r="L26" i="15"/>
  <c r="L25" i="15"/>
  <c r="L24" i="15"/>
  <c r="L23" i="15"/>
  <c r="L22" i="15"/>
  <c r="L21" i="15"/>
  <c r="L20" i="15"/>
  <c r="L17" i="15"/>
  <c r="L16" i="15"/>
  <c r="L15" i="15"/>
  <c r="L14" i="15"/>
  <c r="L13" i="15"/>
  <c r="L12" i="15"/>
  <c r="L11" i="15"/>
  <c r="L10" i="15"/>
  <c r="L9" i="15"/>
  <c r="L8" i="15"/>
  <c r="L95" i="107"/>
  <c r="L94" i="107"/>
  <c r="L93" i="107"/>
  <c r="L92" i="107"/>
  <c r="L91" i="107"/>
  <c r="L90" i="107"/>
  <c r="L89" i="107"/>
  <c r="L88" i="107"/>
  <c r="L84" i="107"/>
  <c r="L83" i="107"/>
  <c r="L82" i="107"/>
  <c r="L81" i="107"/>
  <c r="L80" i="107"/>
  <c r="L76" i="107"/>
  <c r="L75" i="107"/>
  <c r="L74" i="107"/>
  <c r="L73" i="107"/>
  <c r="L72" i="107"/>
  <c r="L71" i="107"/>
  <c r="L67" i="107"/>
  <c r="L66" i="107"/>
  <c r="L65" i="107"/>
  <c r="L64" i="107"/>
  <c r="L63" i="107"/>
  <c r="L59" i="107"/>
  <c r="L58" i="107"/>
  <c r="L57" i="107"/>
  <c r="L56" i="107"/>
  <c r="L55" i="107"/>
  <c r="L54" i="107"/>
  <c r="L53" i="107"/>
  <c r="L52" i="107"/>
  <c r="L51" i="107"/>
  <c r="L50" i="107"/>
  <c r="L46" i="107"/>
  <c r="L45" i="107"/>
  <c r="L44" i="107"/>
  <c r="L43" i="107"/>
  <c r="L42" i="107"/>
  <c r="L41" i="107"/>
  <c r="L40" i="107"/>
  <c r="L39" i="107"/>
  <c r="L38" i="107"/>
  <c r="L37" i="107"/>
  <c r="L17" i="107"/>
  <c r="L16" i="107"/>
  <c r="L15" i="107"/>
  <c r="L14" i="107"/>
  <c r="L13" i="107"/>
  <c r="L12" i="107"/>
  <c r="L11" i="107"/>
  <c r="L10" i="107"/>
  <c r="L9" i="107"/>
  <c r="S39" i="107" s="1"/>
  <c r="Q25" i="107"/>
  <c r="Q21" i="107"/>
  <c r="C89" i="37"/>
  <c r="A1" i="114" l="1"/>
  <c r="A1" i="116"/>
  <c r="A1" i="112"/>
  <c r="A1" i="111"/>
  <c r="A1" i="110"/>
  <c r="A1" i="123"/>
  <c r="A1" i="120"/>
  <c r="A1" i="87"/>
  <c r="A1" i="104"/>
  <c r="A1" i="103"/>
  <c r="A1" i="102"/>
  <c r="A1" i="101"/>
  <c r="A1" i="86"/>
  <c r="A1" i="100"/>
  <c r="A1" i="99"/>
  <c r="A1" i="97"/>
  <c r="A1" i="96"/>
  <c r="A1" i="122"/>
  <c r="A1" i="118"/>
  <c r="A1" i="85"/>
  <c r="A1" i="95"/>
  <c r="A1" i="94"/>
  <c r="A1" i="93"/>
  <c r="A1" i="92"/>
  <c r="A1" i="121"/>
  <c r="A1" i="117"/>
  <c r="A1" i="4"/>
  <c r="A1" i="91"/>
  <c r="A1" i="90"/>
  <c r="A1" i="89"/>
  <c r="A1" i="15"/>
  <c r="D59" i="66"/>
  <c r="L59" i="66" a="1"/>
  <c r="L59" i="66" s="1"/>
  <c r="L10" i="70" a="1"/>
  <c r="L10" i="70" s="1"/>
  <c r="L9" i="70" a="1"/>
  <c r="L9" i="70" s="1"/>
  <c r="Q10" i="99"/>
  <c r="C5" i="128" l="1"/>
  <c r="S71" i="114" l="1"/>
  <c r="S70" i="114"/>
  <c r="S69" i="114"/>
  <c r="S68" i="114"/>
  <c r="S67" i="114"/>
  <c r="S66" i="114"/>
  <c r="S65" i="114"/>
  <c r="S64" i="114"/>
  <c r="S61" i="114"/>
  <c r="S56" i="114"/>
  <c r="S54" i="114"/>
  <c r="S53" i="114"/>
  <c r="S48" i="114"/>
  <c r="S47" i="114"/>
  <c r="S46" i="114"/>
  <c r="S45" i="114"/>
  <c r="S44" i="114"/>
  <c r="S41" i="114"/>
  <c r="S40" i="114"/>
  <c r="S39" i="114"/>
  <c r="S38" i="114"/>
  <c r="S37" i="114"/>
  <c r="S36" i="114"/>
  <c r="S35" i="114"/>
  <c r="S34" i="114"/>
  <c r="S33" i="114"/>
  <c r="S32" i="114"/>
  <c r="S29" i="114"/>
  <c r="S28" i="114"/>
  <c r="S27" i="114"/>
  <c r="S26" i="114"/>
  <c r="S25" i="114"/>
  <c r="S24" i="114"/>
  <c r="S23" i="114"/>
  <c r="S22" i="114"/>
  <c r="S21" i="114"/>
  <c r="S31" i="116"/>
  <c r="S30" i="116"/>
  <c r="S29" i="116"/>
  <c r="S28" i="116"/>
  <c r="S27" i="116"/>
  <c r="S17" i="116"/>
  <c r="S16" i="116"/>
  <c r="S15" i="116"/>
  <c r="S14" i="116"/>
  <c r="S13" i="116"/>
  <c r="S12" i="116"/>
  <c r="S11" i="116"/>
  <c r="S10" i="116"/>
  <c r="S34" i="112"/>
  <c r="S33" i="112"/>
  <c r="S32" i="112"/>
  <c r="S31" i="112"/>
  <c r="S30" i="112"/>
  <c r="S29" i="112"/>
  <c r="S28" i="112"/>
  <c r="S27" i="112"/>
  <c r="S16" i="112"/>
  <c r="S15" i="112"/>
  <c r="S14" i="112"/>
  <c r="S13" i="112"/>
  <c r="S12" i="112"/>
  <c r="S11" i="112"/>
  <c r="S31" i="111"/>
  <c r="S30" i="111"/>
  <c r="S29" i="111"/>
  <c r="S28" i="111"/>
  <c r="S27" i="111"/>
  <c r="S17" i="111"/>
  <c r="S16" i="111"/>
  <c r="S15" i="111"/>
  <c r="S14" i="111"/>
  <c r="S13" i="111"/>
  <c r="S12" i="111"/>
  <c r="S11" i="111"/>
  <c r="S10" i="111"/>
  <c r="S31" i="110"/>
  <c r="S30" i="110"/>
  <c r="S29" i="110"/>
  <c r="S28" i="110"/>
  <c r="S27" i="110"/>
  <c r="S17" i="110"/>
  <c r="S16" i="110"/>
  <c r="S15" i="110"/>
  <c r="S14" i="110"/>
  <c r="S13" i="110"/>
  <c r="S12" i="110"/>
  <c r="S11" i="110"/>
  <c r="S10" i="110"/>
  <c r="S31" i="123"/>
  <c r="S30" i="123"/>
  <c r="S29" i="123"/>
  <c r="S28" i="123"/>
  <c r="S27" i="123"/>
  <c r="S17" i="123"/>
  <c r="S16" i="123"/>
  <c r="S15" i="123"/>
  <c r="S14" i="123"/>
  <c r="S13" i="123"/>
  <c r="S12" i="123"/>
  <c r="S11" i="123"/>
  <c r="S10" i="123"/>
  <c r="S36" i="120"/>
  <c r="S35" i="120"/>
  <c r="S32" i="120"/>
  <c r="S31" i="120"/>
  <c r="S30" i="120"/>
  <c r="S29" i="120"/>
  <c r="S28" i="120"/>
  <c r="S27" i="120"/>
  <c r="S17" i="120"/>
  <c r="S16" i="120"/>
  <c r="S15" i="120"/>
  <c r="S14" i="120"/>
  <c r="S13" i="120"/>
  <c r="S12" i="120"/>
  <c r="S11" i="120"/>
  <c r="S10" i="120"/>
  <c r="S9" i="120"/>
  <c r="P16" i="120"/>
  <c r="Q16" i="120"/>
  <c r="S81" i="87"/>
  <c r="S82" i="87"/>
  <c r="S75" i="87"/>
  <c r="S76" i="87"/>
  <c r="S54" i="87"/>
  <c r="S55" i="87"/>
  <c r="S53" i="87"/>
  <c r="S48" i="87"/>
  <c r="S49" i="87"/>
  <c r="S47" i="87"/>
  <c r="S99" i="87"/>
  <c r="S98" i="87"/>
  <c r="S97" i="87"/>
  <c r="S96" i="87"/>
  <c r="S95" i="87"/>
  <c r="S94" i="87"/>
  <c r="S93" i="87"/>
  <c r="S92" i="87"/>
  <c r="S88" i="87"/>
  <c r="S70" i="87"/>
  <c r="S68" i="87"/>
  <c r="S67" i="87"/>
  <c r="S61" i="87"/>
  <c r="S60" i="87"/>
  <c r="S59" i="87"/>
  <c r="S43" i="87"/>
  <c r="S42" i="87"/>
  <c r="S41" i="87"/>
  <c r="S40" i="87"/>
  <c r="S39" i="87"/>
  <c r="S38" i="87"/>
  <c r="S37" i="87"/>
  <c r="S36" i="87"/>
  <c r="S35" i="87"/>
  <c r="S34" i="87"/>
  <c r="S30" i="87"/>
  <c r="S29" i="87"/>
  <c r="S28" i="87"/>
  <c r="S27" i="87"/>
  <c r="S26" i="87"/>
  <c r="S25" i="87"/>
  <c r="S24" i="87"/>
  <c r="S23" i="87"/>
  <c r="S22" i="87"/>
  <c r="S31" i="104"/>
  <c r="S30" i="104"/>
  <c r="S29" i="104"/>
  <c r="S28" i="104"/>
  <c r="S27" i="104"/>
  <c r="S17" i="104"/>
  <c r="S16" i="104"/>
  <c r="S15" i="104"/>
  <c r="S14" i="104"/>
  <c r="S13" i="104"/>
  <c r="S12" i="104"/>
  <c r="S11" i="104"/>
  <c r="S10" i="104"/>
  <c r="S43" i="103"/>
  <c r="S44" i="103"/>
  <c r="S42" i="103"/>
  <c r="S38" i="103"/>
  <c r="S39" i="103"/>
  <c r="S37" i="103"/>
  <c r="S34" i="103"/>
  <c r="S33" i="103"/>
  <c r="S32" i="103"/>
  <c r="S31" i="103"/>
  <c r="S30" i="103"/>
  <c r="S29" i="103"/>
  <c r="S28" i="103"/>
  <c r="S27" i="103"/>
  <c r="S17" i="103"/>
  <c r="S16" i="103"/>
  <c r="S15" i="103"/>
  <c r="S14" i="103"/>
  <c r="S13" i="103"/>
  <c r="S12" i="103"/>
  <c r="S11" i="103"/>
  <c r="S31" i="102"/>
  <c r="S30" i="102"/>
  <c r="S29" i="102"/>
  <c r="S28" i="102"/>
  <c r="S27" i="102"/>
  <c r="S17" i="102"/>
  <c r="S16" i="102"/>
  <c r="S15" i="102"/>
  <c r="S14" i="102"/>
  <c r="S13" i="102"/>
  <c r="S12" i="102"/>
  <c r="S11" i="102"/>
  <c r="S10" i="102"/>
  <c r="S31" i="101"/>
  <c r="S30" i="101"/>
  <c r="S29" i="101"/>
  <c r="S28" i="101"/>
  <c r="S27" i="101"/>
  <c r="S17" i="101"/>
  <c r="S16" i="101"/>
  <c r="S15" i="101"/>
  <c r="S14" i="101"/>
  <c r="S13" i="101"/>
  <c r="S12" i="101"/>
  <c r="S11" i="101"/>
  <c r="S10" i="101"/>
  <c r="S9" i="101"/>
  <c r="P16" i="101"/>
  <c r="Q16" i="101"/>
  <c r="S75" i="86"/>
  <c r="S74" i="86"/>
  <c r="S73" i="86"/>
  <c r="S72" i="86"/>
  <c r="S71" i="86"/>
  <c r="S70" i="86"/>
  <c r="S69" i="86"/>
  <c r="S68" i="86"/>
  <c r="S65" i="86"/>
  <c r="S64" i="86"/>
  <c r="S63" i="86"/>
  <c r="S58" i="86"/>
  <c r="S56" i="86"/>
  <c r="S55" i="86"/>
  <c r="S50" i="86"/>
  <c r="S49" i="86"/>
  <c r="S48" i="86"/>
  <c r="S47" i="86"/>
  <c r="S46" i="86"/>
  <c r="S43" i="86"/>
  <c r="S42" i="86"/>
  <c r="S41" i="86"/>
  <c r="S40" i="86"/>
  <c r="S39" i="86"/>
  <c r="S38" i="86"/>
  <c r="S37" i="86"/>
  <c r="S36" i="86"/>
  <c r="S35" i="86"/>
  <c r="S34" i="86"/>
  <c r="S30" i="86"/>
  <c r="S29" i="86"/>
  <c r="S28" i="86"/>
  <c r="S27" i="86"/>
  <c r="S26" i="86"/>
  <c r="S25" i="86"/>
  <c r="S24" i="86"/>
  <c r="S23" i="86"/>
  <c r="S22" i="86"/>
  <c r="S31" i="100"/>
  <c r="S30" i="100"/>
  <c r="S29" i="100"/>
  <c r="S28" i="100"/>
  <c r="S27" i="100"/>
  <c r="S17" i="100"/>
  <c r="S16" i="100"/>
  <c r="S15" i="100"/>
  <c r="S14" i="100"/>
  <c r="S13" i="100"/>
  <c r="S12" i="100"/>
  <c r="S11" i="100"/>
  <c r="S10" i="100"/>
  <c r="S34" i="99"/>
  <c r="S33" i="99"/>
  <c r="S32" i="99"/>
  <c r="S31" i="99"/>
  <c r="S30" i="99"/>
  <c r="S29" i="99"/>
  <c r="S28" i="99"/>
  <c r="S27" i="99"/>
  <c r="S17" i="99"/>
  <c r="S16" i="99"/>
  <c r="S15" i="99"/>
  <c r="S14" i="99"/>
  <c r="S13" i="99"/>
  <c r="S12" i="99"/>
  <c r="S11" i="99"/>
  <c r="S10" i="99"/>
  <c r="S31" i="97"/>
  <c r="S30" i="97"/>
  <c r="S29" i="97"/>
  <c r="S28" i="97"/>
  <c r="S27" i="97"/>
  <c r="S17" i="97"/>
  <c r="S16" i="97"/>
  <c r="S15" i="97"/>
  <c r="S14" i="97"/>
  <c r="S13" i="97"/>
  <c r="S12" i="97"/>
  <c r="S11" i="97"/>
  <c r="S10" i="97"/>
  <c r="S31" i="96"/>
  <c r="S30" i="96"/>
  <c r="S29" i="96"/>
  <c r="S28" i="96"/>
  <c r="S27" i="96"/>
  <c r="S17" i="96"/>
  <c r="S16" i="96"/>
  <c r="S15" i="96"/>
  <c r="S14" i="96"/>
  <c r="S13" i="96"/>
  <c r="S12" i="96"/>
  <c r="S11" i="96"/>
  <c r="S10" i="96"/>
  <c r="S31" i="122"/>
  <c r="S30" i="122"/>
  <c r="S29" i="122"/>
  <c r="S28" i="122"/>
  <c r="S27" i="122"/>
  <c r="S17" i="122"/>
  <c r="S16" i="122"/>
  <c r="S15" i="122"/>
  <c r="S14" i="122"/>
  <c r="S13" i="122"/>
  <c r="S12" i="122"/>
  <c r="S11" i="122"/>
  <c r="S10" i="122"/>
  <c r="S36" i="118"/>
  <c r="S35" i="118"/>
  <c r="S32" i="118"/>
  <c r="S31" i="118"/>
  <c r="S30" i="118"/>
  <c r="S29" i="118"/>
  <c r="S28" i="118"/>
  <c r="S27" i="118"/>
  <c r="S17" i="118"/>
  <c r="S16" i="118"/>
  <c r="S15" i="118"/>
  <c r="S14" i="118"/>
  <c r="S13" i="118"/>
  <c r="S12" i="118"/>
  <c r="S11" i="118"/>
  <c r="S10" i="118"/>
  <c r="S8" i="118"/>
  <c r="P16" i="118"/>
  <c r="Q16" i="118"/>
  <c r="S75" i="85"/>
  <c r="S74" i="85"/>
  <c r="S73" i="85"/>
  <c r="S72" i="85"/>
  <c r="S71" i="85"/>
  <c r="S70" i="85"/>
  <c r="S69" i="85"/>
  <c r="S68" i="85"/>
  <c r="S65" i="85"/>
  <c r="S64" i="85"/>
  <c r="S63" i="85"/>
  <c r="S58" i="85"/>
  <c r="S56" i="85"/>
  <c r="S55" i="85"/>
  <c r="S50" i="85"/>
  <c r="S49" i="85"/>
  <c r="S48" i="85"/>
  <c r="S47" i="85"/>
  <c r="S46" i="85"/>
  <c r="S43" i="85"/>
  <c r="S42" i="85"/>
  <c r="S41" i="85"/>
  <c r="S40" i="85"/>
  <c r="S39" i="85"/>
  <c r="S38" i="85"/>
  <c r="S37" i="85"/>
  <c r="S36" i="85"/>
  <c r="S35" i="85"/>
  <c r="S34" i="85"/>
  <c r="S30" i="85"/>
  <c r="S29" i="85"/>
  <c r="S28" i="85"/>
  <c r="S27" i="85"/>
  <c r="S26" i="85"/>
  <c r="S25" i="85"/>
  <c r="S24" i="85"/>
  <c r="S31" i="95"/>
  <c r="S30" i="95"/>
  <c r="S29" i="95"/>
  <c r="S28" i="95"/>
  <c r="S27" i="95"/>
  <c r="S17" i="95"/>
  <c r="S16" i="95"/>
  <c r="S15" i="95"/>
  <c r="S14" i="95"/>
  <c r="S13" i="95"/>
  <c r="S12" i="95"/>
  <c r="S11" i="95"/>
  <c r="S10" i="95"/>
  <c r="S34" i="94"/>
  <c r="S33" i="94"/>
  <c r="S32" i="94"/>
  <c r="S31" i="94"/>
  <c r="S30" i="94"/>
  <c r="S29" i="94"/>
  <c r="S28" i="94"/>
  <c r="S27" i="94"/>
  <c r="S17" i="94"/>
  <c r="S16" i="94"/>
  <c r="S15" i="94"/>
  <c r="S14" i="94"/>
  <c r="S13" i="94"/>
  <c r="S9" i="94"/>
  <c r="S31" i="93"/>
  <c r="S30" i="93"/>
  <c r="S29" i="93"/>
  <c r="S28" i="93"/>
  <c r="S27" i="93"/>
  <c r="S17" i="93"/>
  <c r="S16" i="93"/>
  <c r="S15" i="93"/>
  <c r="S14" i="93"/>
  <c r="S13" i="93"/>
  <c r="S12" i="93"/>
  <c r="S11" i="93"/>
  <c r="S10" i="93"/>
  <c r="S31" i="92"/>
  <c r="S30" i="92"/>
  <c r="S29" i="92"/>
  <c r="S28" i="92"/>
  <c r="S27" i="92"/>
  <c r="S17" i="92"/>
  <c r="S16" i="92"/>
  <c r="S15" i="92"/>
  <c r="S14" i="92"/>
  <c r="S13" i="92"/>
  <c r="S12" i="92"/>
  <c r="S11" i="92"/>
  <c r="S10" i="92"/>
  <c r="S31" i="121"/>
  <c r="S30" i="121"/>
  <c r="S29" i="121"/>
  <c r="S28" i="121"/>
  <c r="S27" i="121"/>
  <c r="S17" i="121"/>
  <c r="S16" i="121"/>
  <c r="S15" i="121"/>
  <c r="S14" i="121"/>
  <c r="S13" i="121"/>
  <c r="S12" i="121"/>
  <c r="S11" i="121"/>
  <c r="S10" i="121"/>
  <c r="S36" i="117"/>
  <c r="S35" i="117"/>
  <c r="S32" i="117"/>
  <c r="S31" i="117"/>
  <c r="S30" i="117"/>
  <c r="S29" i="117"/>
  <c r="S28" i="117"/>
  <c r="S27" i="117"/>
  <c r="S17" i="117"/>
  <c r="S16" i="117"/>
  <c r="S15" i="117"/>
  <c r="S14" i="117"/>
  <c r="S13" i="117"/>
  <c r="S12" i="117"/>
  <c r="S11" i="117"/>
  <c r="S10" i="117"/>
  <c r="S8" i="117"/>
  <c r="P15" i="117"/>
  <c r="Q15" i="117"/>
  <c r="P16" i="117"/>
  <c r="Q16" i="117"/>
  <c r="S75" i="4"/>
  <c r="S74" i="4"/>
  <c r="S73" i="4"/>
  <c r="S72" i="4"/>
  <c r="S71" i="4"/>
  <c r="S70" i="4"/>
  <c r="S69" i="4"/>
  <c r="S68" i="4"/>
  <c r="S65" i="4"/>
  <c r="S64" i="4"/>
  <c r="S63" i="4"/>
  <c r="S62" i="4"/>
  <c r="S58" i="4"/>
  <c r="S56" i="4"/>
  <c r="S55" i="4"/>
  <c r="S50" i="4"/>
  <c r="S49" i="4"/>
  <c r="S48" i="4"/>
  <c r="S47" i="4"/>
  <c r="S46" i="4"/>
  <c r="S43" i="4"/>
  <c r="S42" i="4"/>
  <c r="S41" i="4"/>
  <c r="S40" i="4"/>
  <c r="S39" i="4"/>
  <c r="S38" i="4"/>
  <c r="S37" i="4"/>
  <c r="S36" i="4"/>
  <c r="S35" i="4"/>
  <c r="S34" i="4"/>
  <c r="S30" i="4"/>
  <c r="S29" i="4"/>
  <c r="S28" i="4"/>
  <c r="S27" i="4"/>
  <c r="S26" i="4"/>
  <c r="S25" i="4"/>
  <c r="S24" i="4"/>
  <c r="S31" i="91"/>
  <c r="S30" i="91"/>
  <c r="S29" i="91"/>
  <c r="S28" i="91"/>
  <c r="S27" i="91"/>
  <c r="S17" i="91"/>
  <c r="S16" i="91"/>
  <c r="S15" i="91"/>
  <c r="S14" i="91"/>
  <c r="S13" i="91"/>
  <c r="S12" i="91"/>
  <c r="S11" i="91"/>
  <c r="S10" i="91"/>
  <c r="S32" i="90"/>
  <c r="S31" i="90"/>
  <c r="S30" i="90"/>
  <c r="S29" i="90"/>
  <c r="S28" i="90"/>
  <c r="S27" i="90"/>
  <c r="S17" i="90"/>
  <c r="S16" i="90"/>
  <c r="S15" i="90"/>
  <c r="S14" i="90"/>
  <c r="S13" i="90"/>
  <c r="S12" i="90"/>
  <c r="S11" i="90"/>
  <c r="S10" i="90"/>
  <c r="S31" i="89"/>
  <c r="S30" i="89"/>
  <c r="S29" i="89"/>
  <c r="S28" i="89"/>
  <c r="S27" i="89"/>
  <c r="S17" i="89"/>
  <c r="S16" i="89"/>
  <c r="S15" i="89"/>
  <c r="S14" i="89"/>
  <c r="S13" i="89"/>
  <c r="S12" i="89"/>
  <c r="S11" i="89"/>
  <c r="S10" i="89"/>
  <c r="S32" i="15"/>
  <c r="S31" i="15"/>
  <c r="S30" i="15"/>
  <c r="S29" i="15"/>
  <c r="S28" i="15"/>
  <c r="S27" i="15"/>
  <c r="S17" i="15"/>
  <c r="S16" i="15"/>
  <c r="S15" i="15"/>
  <c r="S14" i="15"/>
  <c r="S13" i="15"/>
  <c r="S12" i="15"/>
  <c r="S11" i="15"/>
  <c r="S10" i="15"/>
  <c r="S9" i="15"/>
  <c r="P16" i="15"/>
  <c r="Q16" i="15"/>
  <c r="S95" i="107"/>
  <c r="S94" i="107"/>
  <c r="S93" i="107"/>
  <c r="S92" i="107"/>
  <c r="S91" i="107"/>
  <c r="S90" i="107"/>
  <c r="S89" i="107"/>
  <c r="S88" i="107"/>
  <c r="S84" i="107"/>
  <c r="S83" i="107"/>
  <c r="S82" i="107"/>
  <c r="S81" i="107"/>
  <c r="S80" i="107"/>
  <c r="S76" i="107"/>
  <c r="S74" i="107"/>
  <c r="S73" i="107"/>
  <c r="S67" i="107"/>
  <c r="S66" i="107"/>
  <c r="S65" i="107"/>
  <c r="S64" i="107"/>
  <c r="S63" i="107"/>
  <c r="S59" i="107"/>
  <c r="S58" i="107"/>
  <c r="S57" i="107"/>
  <c r="S56" i="107"/>
  <c r="S55" i="107"/>
  <c r="S54" i="107"/>
  <c r="S53" i="107"/>
  <c r="S52" i="107"/>
  <c r="S51" i="107"/>
  <c r="S50" i="107"/>
  <c r="S46" i="107"/>
  <c r="S45" i="107"/>
  <c r="S44" i="107"/>
  <c r="S43" i="107"/>
  <c r="S42" i="107"/>
  <c r="S41" i="107"/>
  <c r="S40" i="107"/>
  <c r="S38" i="107"/>
  <c r="S37" i="107"/>
  <c r="Q55" i="114"/>
  <c r="S55" i="114" s="1"/>
  <c r="Q52" i="114"/>
  <c r="S52" i="114" s="1"/>
  <c r="P11" i="116"/>
  <c r="Q11" i="116"/>
  <c r="P12" i="116"/>
  <c r="Q12" i="116"/>
  <c r="P13" i="116"/>
  <c r="Q13" i="116"/>
  <c r="P14" i="116"/>
  <c r="Q14" i="116"/>
  <c r="P15" i="116"/>
  <c r="Q15" i="116"/>
  <c r="P16" i="116"/>
  <c r="Q16" i="116"/>
  <c r="P17" i="116"/>
  <c r="Q17" i="116"/>
  <c r="Q10" i="116"/>
  <c r="P10" i="116"/>
  <c r="Q9" i="116"/>
  <c r="S9" i="116" s="1"/>
  <c r="P9" i="116"/>
  <c r="P10" i="112"/>
  <c r="Q10" i="112"/>
  <c r="S10" i="112" s="1"/>
  <c r="Q9" i="112"/>
  <c r="S9" i="112" s="1"/>
  <c r="P9" i="112"/>
  <c r="P11" i="111"/>
  <c r="Q11" i="111"/>
  <c r="P12" i="111"/>
  <c r="Q12" i="111"/>
  <c r="P13" i="111"/>
  <c r="Q13" i="111"/>
  <c r="P14" i="111"/>
  <c r="Q14" i="111"/>
  <c r="P15" i="111"/>
  <c r="Q15" i="111"/>
  <c r="P16" i="111"/>
  <c r="Q16" i="111"/>
  <c r="P17" i="111"/>
  <c r="Q17" i="111"/>
  <c r="Q10" i="111"/>
  <c r="P10" i="111"/>
  <c r="Q9" i="111"/>
  <c r="S9" i="111" s="1"/>
  <c r="P9" i="111"/>
  <c r="P11" i="110"/>
  <c r="Q11" i="110"/>
  <c r="P12" i="110"/>
  <c r="Q12" i="110"/>
  <c r="P13" i="110"/>
  <c r="Q13" i="110"/>
  <c r="P14" i="110"/>
  <c r="Q14" i="110"/>
  <c r="P15" i="110"/>
  <c r="Q15" i="110"/>
  <c r="P16" i="110"/>
  <c r="Q16" i="110"/>
  <c r="P17" i="110"/>
  <c r="Q17" i="110"/>
  <c r="Q10" i="110"/>
  <c r="P10" i="110"/>
  <c r="Q9" i="110"/>
  <c r="S9" i="110" s="1"/>
  <c r="P9" i="110"/>
  <c r="P28" i="120"/>
  <c r="P11" i="123"/>
  <c r="Q11" i="123"/>
  <c r="P12" i="123"/>
  <c r="Q12" i="123"/>
  <c r="P13" i="123"/>
  <c r="Q13" i="123"/>
  <c r="P14" i="123"/>
  <c r="Q14" i="123"/>
  <c r="P15" i="123"/>
  <c r="Q15" i="123"/>
  <c r="P16" i="123"/>
  <c r="Q16" i="123"/>
  <c r="P17" i="123"/>
  <c r="Q17" i="123"/>
  <c r="Q10" i="123"/>
  <c r="P10" i="123"/>
  <c r="Q9" i="123"/>
  <c r="S9" i="123" s="1"/>
  <c r="P9" i="123"/>
  <c r="Q8" i="120"/>
  <c r="S8" i="120" s="1"/>
  <c r="P8" i="120"/>
  <c r="Q69" i="87"/>
  <c r="S69" i="87" s="1"/>
  <c r="Q66" i="87"/>
  <c r="S66" i="87" s="1"/>
  <c r="Q17" i="104"/>
  <c r="P17" i="104"/>
  <c r="Q16" i="104"/>
  <c r="P16" i="104"/>
  <c r="Q15" i="104"/>
  <c r="P15" i="104"/>
  <c r="Q14" i="104"/>
  <c r="P14" i="104"/>
  <c r="Q13" i="104"/>
  <c r="P13" i="104"/>
  <c r="Q12" i="104"/>
  <c r="P12" i="104"/>
  <c r="Q11" i="104"/>
  <c r="P11" i="104"/>
  <c r="Q10" i="104"/>
  <c r="P10" i="104"/>
  <c r="Q9" i="104"/>
  <c r="S9" i="104" s="1"/>
  <c r="P9" i="104"/>
  <c r="P10" i="103"/>
  <c r="Q10" i="103"/>
  <c r="S10" i="103" s="1"/>
  <c r="Q17" i="103"/>
  <c r="P17" i="103"/>
  <c r="Q16" i="103"/>
  <c r="P16" i="103"/>
  <c r="Q15" i="103"/>
  <c r="P15" i="103"/>
  <c r="Q14" i="103"/>
  <c r="P14" i="103"/>
  <c r="Q13" i="103"/>
  <c r="P13" i="103"/>
  <c r="Q12" i="103"/>
  <c r="P12" i="103"/>
  <c r="Q11" i="103"/>
  <c r="P11" i="103"/>
  <c r="Q9" i="103"/>
  <c r="S9" i="103" s="1"/>
  <c r="P9" i="103"/>
  <c r="Q17" i="102"/>
  <c r="P17" i="102"/>
  <c r="Q16" i="102"/>
  <c r="P16" i="102"/>
  <c r="Q15" i="102"/>
  <c r="P15" i="102"/>
  <c r="Q14" i="102"/>
  <c r="P14" i="102"/>
  <c r="Q13" i="102"/>
  <c r="P13" i="102"/>
  <c r="Q12" i="102"/>
  <c r="P12" i="102"/>
  <c r="Q11" i="102"/>
  <c r="P11" i="102"/>
  <c r="Q10" i="102"/>
  <c r="P10" i="102"/>
  <c r="Q9" i="102"/>
  <c r="S9" i="102" s="1"/>
  <c r="P9" i="102"/>
  <c r="Q8" i="101"/>
  <c r="S8" i="101" s="1"/>
  <c r="P11" i="100"/>
  <c r="Q11" i="100"/>
  <c r="P12" i="100"/>
  <c r="Q12" i="100"/>
  <c r="P13" i="100"/>
  <c r="Q13" i="100"/>
  <c r="P14" i="100"/>
  <c r="Q14" i="100"/>
  <c r="P15" i="100"/>
  <c r="Q15" i="100"/>
  <c r="P16" i="100"/>
  <c r="Q16" i="100"/>
  <c r="P17" i="100"/>
  <c r="Q17" i="100"/>
  <c r="Q10" i="100"/>
  <c r="P10" i="100"/>
  <c r="Q9" i="100"/>
  <c r="S9" i="100" s="1"/>
  <c r="P9" i="100"/>
  <c r="P11" i="99"/>
  <c r="Q11" i="99"/>
  <c r="P12" i="99"/>
  <c r="Q12" i="99"/>
  <c r="P13" i="99"/>
  <c r="Q13" i="99"/>
  <c r="P14" i="99"/>
  <c r="Q14" i="99"/>
  <c r="P15" i="99"/>
  <c r="Q15" i="99"/>
  <c r="P16" i="99"/>
  <c r="Q16" i="99"/>
  <c r="P17" i="99"/>
  <c r="Q17" i="99"/>
  <c r="P10" i="99"/>
  <c r="Q9" i="99"/>
  <c r="S9" i="99" s="1"/>
  <c r="P9" i="99"/>
  <c r="P11" i="97"/>
  <c r="Q11" i="97"/>
  <c r="P12" i="97"/>
  <c r="Q12" i="97"/>
  <c r="P13" i="97"/>
  <c r="Q13" i="97"/>
  <c r="P14" i="97"/>
  <c r="Q14" i="97"/>
  <c r="P15" i="97"/>
  <c r="Q15" i="97"/>
  <c r="P16" i="97"/>
  <c r="Q16" i="97"/>
  <c r="P17" i="97"/>
  <c r="Q17" i="97"/>
  <c r="Q10" i="97"/>
  <c r="P10" i="97"/>
  <c r="Q9" i="97"/>
  <c r="S9" i="97" s="1"/>
  <c r="P9" i="97"/>
  <c r="P11" i="96"/>
  <c r="Q11" i="96"/>
  <c r="P12" i="96"/>
  <c r="Q12" i="96"/>
  <c r="P13" i="96"/>
  <c r="Q13" i="96"/>
  <c r="P14" i="96"/>
  <c r="Q14" i="96"/>
  <c r="P15" i="96"/>
  <c r="Q15" i="96"/>
  <c r="P16" i="96"/>
  <c r="Q16" i="96"/>
  <c r="P17" i="96"/>
  <c r="Q17" i="96"/>
  <c r="P10" i="96"/>
  <c r="Q10" i="96"/>
  <c r="Q9" i="96"/>
  <c r="S9" i="96" s="1"/>
  <c r="P9" i="96"/>
  <c r="P11" i="122"/>
  <c r="Q11" i="122"/>
  <c r="P12" i="122"/>
  <c r="Q12" i="122"/>
  <c r="P13" i="122"/>
  <c r="Q13" i="122"/>
  <c r="P14" i="122"/>
  <c r="Q14" i="122"/>
  <c r="P15" i="122"/>
  <c r="Q15" i="122"/>
  <c r="P16" i="122"/>
  <c r="Q16" i="122"/>
  <c r="P17" i="122"/>
  <c r="Q17" i="122"/>
  <c r="Q10" i="122"/>
  <c r="P10" i="122"/>
  <c r="Q9" i="122"/>
  <c r="S9" i="122" s="1"/>
  <c r="P9" i="122"/>
  <c r="P28" i="118"/>
  <c r="P29" i="118"/>
  <c r="P28" i="117"/>
  <c r="P11" i="118"/>
  <c r="Q11" i="118"/>
  <c r="P12" i="118"/>
  <c r="Q12" i="118"/>
  <c r="P13" i="118"/>
  <c r="Q13" i="118"/>
  <c r="P14" i="118"/>
  <c r="Q14" i="118"/>
  <c r="P15" i="118"/>
  <c r="Q15" i="118"/>
  <c r="P17" i="118"/>
  <c r="Q17" i="118"/>
  <c r="Q10" i="118"/>
  <c r="P10" i="118"/>
  <c r="Q9" i="118"/>
  <c r="S9" i="118" s="1"/>
  <c r="P9" i="118"/>
  <c r="Q57" i="86"/>
  <c r="S57" i="86" s="1"/>
  <c r="Q54" i="86"/>
  <c r="S54" i="86" s="1"/>
  <c r="Q54" i="85"/>
  <c r="S54" i="85" s="1"/>
  <c r="Q9" i="95"/>
  <c r="S9" i="95" s="1"/>
  <c r="Q11" i="94"/>
  <c r="S11" i="94" s="1"/>
  <c r="Q10" i="94"/>
  <c r="S10" i="94" s="1"/>
  <c r="Q12" i="94"/>
  <c r="S12" i="94" s="1"/>
  <c r="Q9" i="93"/>
  <c r="S9" i="93" s="1"/>
  <c r="Q9" i="92"/>
  <c r="S9" i="92" s="1"/>
  <c r="Q9" i="121"/>
  <c r="S9" i="121" s="1"/>
  <c r="Q9" i="117"/>
  <c r="S9" i="117" s="1"/>
  <c r="Q54" i="4"/>
  <c r="S54" i="4" s="1"/>
  <c r="Q57" i="4"/>
  <c r="S57" i="4" s="1"/>
  <c r="Q9" i="91"/>
  <c r="S9" i="91" s="1"/>
  <c r="Q9" i="90"/>
  <c r="S9" i="90" s="1"/>
  <c r="Q9" i="89"/>
  <c r="S9" i="89" s="1"/>
  <c r="Q8" i="15"/>
  <c r="S8" i="15" s="1"/>
  <c r="Q75" i="107"/>
  <c r="S75" i="107" s="1"/>
  <c r="Q72" i="107"/>
  <c r="S72" i="107" s="1"/>
  <c r="Q57" i="85"/>
  <c r="S57" i="85" s="1"/>
  <c r="Q56" i="85"/>
  <c r="Q55" i="85"/>
  <c r="P54" i="85"/>
  <c r="P55" i="85"/>
  <c r="P56" i="85"/>
  <c r="P57" i="85"/>
  <c r="P53" i="85"/>
  <c r="P35" i="85"/>
  <c r="Q35" i="85"/>
  <c r="P36" i="85"/>
  <c r="Q36" i="85"/>
  <c r="P37" i="85"/>
  <c r="Q37" i="85"/>
  <c r="P38" i="85"/>
  <c r="Q38" i="85"/>
  <c r="P39" i="85"/>
  <c r="Q39" i="85"/>
  <c r="P40" i="85"/>
  <c r="Q40" i="85"/>
  <c r="P41" i="85"/>
  <c r="Q41" i="85"/>
  <c r="P42" i="85"/>
  <c r="Q42" i="85"/>
  <c r="P43" i="85"/>
  <c r="Q43" i="85"/>
  <c r="Q34" i="85"/>
  <c r="P34" i="85"/>
  <c r="Q25" i="85"/>
  <c r="Q26" i="85"/>
  <c r="Q27" i="85"/>
  <c r="Q28" i="85"/>
  <c r="Q29" i="85"/>
  <c r="Q30" i="85"/>
  <c r="Q24" i="85"/>
  <c r="P30" i="85"/>
  <c r="P22" i="85"/>
  <c r="P23" i="85"/>
  <c r="P24" i="85"/>
  <c r="P25" i="85"/>
  <c r="P26" i="85"/>
  <c r="P27" i="85"/>
  <c r="P28" i="85"/>
  <c r="P29" i="85"/>
  <c r="P21" i="85"/>
  <c r="P11" i="95"/>
  <c r="Q11" i="95"/>
  <c r="P12" i="95"/>
  <c r="Q12" i="95"/>
  <c r="P13" i="95"/>
  <c r="Q13" i="95"/>
  <c r="P14" i="95"/>
  <c r="Q14" i="95"/>
  <c r="P15" i="95"/>
  <c r="Q15" i="95"/>
  <c r="P16" i="95"/>
  <c r="Q16" i="95"/>
  <c r="Q10" i="95"/>
  <c r="P10" i="95"/>
  <c r="P9" i="95"/>
  <c r="P14" i="94"/>
  <c r="Q14" i="94"/>
  <c r="P15" i="94"/>
  <c r="Q15" i="94"/>
  <c r="P16" i="94"/>
  <c r="Q16" i="94"/>
  <c r="Q13" i="94"/>
  <c r="P13" i="94"/>
  <c r="Q9" i="94"/>
  <c r="P9" i="94"/>
  <c r="P11" i="94"/>
  <c r="P12" i="94"/>
  <c r="P10" i="94"/>
  <c r="P11" i="93"/>
  <c r="Q11" i="93"/>
  <c r="P12" i="93"/>
  <c r="Q12" i="93"/>
  <c r="P13" i="93"/>
  <c r="Q13" i="93"/>
  <c r="P14" i="93"/>
  <c r="Q14" i="93"/>
  <c r="P15" i="93"/>
  <c r="Q15" i="93"/>
  <c r="P16" i="93"/>
  <c r="Q16" i="93"/>
  <c r="Q10" i="93"/>
  <c r="P10" i="93"/>
  <c r="P9" i="93"/>
  <c r="P11" i="92"/>
  <c r="Q11" i="92"/>
  <c r="P12" i="92"/>
  <c r="Q12" i="92"/>
  <c r="P13" i="92"/>
  <c r="Q13" i="92"/>
  <c r="P14" i="92"/>
  <c r="Q14" i="92"/>
  <c r="P15" i="92"/>
  <c r="Q15" i="92"/>
  <c r="P16" i="92"/>
  <c r="Q16" i="92"/>
  <c r="Q10" i="92"/>
  <c r="P10" i="92"/>
  <c r="P9" i="92"/>
  <c r="P11" i="121"/>
  <c r="Q11" i="121"/>
  <c r="P12" i="121"/>
  <c r="Q12" i="121"/>
  <c r="P13" i="121"/>
  <c r="Q13" i="121"/>
  <c r="P14" i="121"/>
  <c r="Q14" i="121"/>
  <c r="P15" i="121"/>
  <c r="Q15" i="121"/>
  <c r="P16" i="121"/>
  <c r="Q16" i="121"/>
  <c r="P10" i="121"/>
  <c r="Q10" i="121"/>
  <c r="P9" i="121"/>
  <c r="P9" i="117"/>
  <c r="P10" i="117"/>
  <c r="Q10" i="117"/>
  <c r="P11" i="117"/>
  <c r="Q11" i="117"/>
  <c r="P12" i="117"/>
  <c r="Q12" i="117"/>
  <c r="P13" i="117"/>
  <c r="Q13" i="117"/>
  <c r="P14" i="117"/>
  <c r="Q14" i="117"/>
  <c r="Q74" i="107"/>
  <c r="Q73" i="107"/>
  <c r="P72" i="107"/>
  <c r="P73" i="107"/>
  <c r="P74" i="107"/>
  <c r="P75" i="107"/>
  <c r="P71" i="107"/>
  <c r="Q59" i="107"/>
  <c r="P59" i="107"/>
  <c r="Q58" i="107"/>
  <c r="P58" i="107"/>
  <c r="Q57" i="107"/>
  <c r="P57" i="107"/>
  <c r="Q56" i="107"/>
  <c r="P56" i="107"/>
  <c r="Q55" i="107"/>
  <c r="P55" i="107"/>
  <c r="Q54" i="107"/>
  <c r="P54" i="107"/>
  <c r="Q53" i="107"/>
  <c r="P53" i="107"/>
  <c r="Q52" i="107"/>
  <c r="P52" i="107"/>
  <c r="Q51" i="107"/>
  <c r="P51" i="107"/>
  <c r="Q50" i="107"/>
  <c r="P50" i="107"/>
  <c r="P43" i="107"/>
  <c r="Q43" i="107"/>
  <c r="P44" i="107"/>
  <c r="Q44" i="107"/>
  <c r="P45" i="107"/>
  <c r="Q45" i="107"/>
  <c r="P46" i="107"/>
  <c r="Q46" i="107"/>
  <c r="P38" i="107"/>
  <c r="Q38" i="107"/>
  <c r="P39" i="107"/>
  <c r="Q39" i="107"/>
  <c r="P40" i="107"/>
  <c r="Q40" i="107"/>
  <c r="P41" i="107"/>
  <c r="Q41" i="107"/>
  <c r="P42" i="107"/>
  <c r="Q42" i="107"/>
  <c r="Q37" i="107"/>
  <c r="P37" i="107"/>
  <c r="Q56" i="4"/>
  <c r="Q55" i="4"/>
  <c r="P55" i="4"/>
  <c r="P54" i="4"/>
  <c r="P56" i="4"/>
  <c r="P57" i="4"/>
  <c r="P53" i="4"/>
  <c r="P21" i="4"/>
  <c r="P22" i="4"/>
  <c r="P23" i="4"/>
  <c r="P25" i="4"/>
  <c r="Q25" i="4"/>
  <c r="P26" i="4"/>
  <c r="Q26" i="4"/>
  <c r="P27" i="4"/>
  <c r="Q27" i="4"/>
  <c r="P28" i="4"/>
  <c r="Q28" i="4"/>
  <c r="P29" i="4"/>
  <c r="Q29" i="4"/>
  <c r="P30" i="4"/>
  <c r="Q30" i="4"/>
  <c r="Q24" i="4"/>
  <c r="P24" i="4"/>
  <c r="P9" i="91"/>
  <c r="P11" i="91"/>
  <c r="Q11" i="91"/>
  <c r="P12" i="91"/>
  <c r="Q12" i="91"/>
  <c r="P13" i="91"/>
  <c r="Q13" i="91"/>
  <c r="P14" i="91"/>
  <c r="Q14" i="91"/>
  <c r="P15" i="91"/>
  <c r="Q15" i="91"/>
  <c r="P16" i="91"/>
  <c r="Q16" i="91"/>
  <c r="P17" i="91"/>
  <c r="Q17" i="91"/>
  <c r="Q10" i="91"/>
  <c r="P10" i="91"/>
  <c r="P9" i="90"/>
  <c r="P11" i="90"/>
  <c r="Q11" i="90"/>
  <c r="P12" i="90"/>
  <c r="Q12" i="90"/>
  <c r="P13" i="90"/>
  <c r="Q13" i="90"/>
  <c r="P14" i="90"/>
  <c r="Q14" i="90"/>
  <c r="P15" i="90"/>
  <c r="Q15" i="90"/>
  <c r="P16" i="90"/>
  <c r="Q16" i="90"/>
  <c r="P17" i="90"/>
  <c r="Q17" i="90"/>
  <c r="Q10" i="90"/>
  <c r="P10" i="90"/>
  <c r="P9" i="89"/>
  <c r="P11" i="89"/>
  <c r="Q11" i="89"/>
  <c r="P12" i="89"/>
  <c r="Q12" i="89"/>
  <c r="P13" i="89"/>
  <c r="Q13" i="89"/>
  <c r="P14" i="89"/>
  <c r="Q14" i="89"/>
  <c r="P15" i="89"/>
  <c r="Q15" i="89"/>
  <c r="P16" i="89"/>
  <c r="Q16" i="89"/>
  <c r="P17" i="89"/>
  <c r="Q17" i="89"/>
  <c r="Q10" i="89"/>
  <c r="P10" i="89"/>
  <c r="Q10" i="15"/>
  <c r="Q11" i="15"/>
  <c r="Q12" i="15"/>
  <c r="Q13" i="15"/>
  <c r="Q14" i="15"/>
  <c r="Q15" i="15"/>
  <c r="Q17" i="15"/>
  <c r="Q9" i="15"/>
  <c r="P9" i="15"/>
  <c r="P10" i="15"/>
  <c r="P11" i="15"/>
  <c r="P12" i="15"/>
  <c r="P13" i="15"/>
  <c r="P14" i="15"/>
  <c r="P15" i="15"/>
  <c r="P17" i="15"/>
  <c r="P8" i="15"/>
  <c r="E28" i="15"/>
  <c r="D116" i="37" a="1"/>
  <c r="D116" i="37" l="1"/>
  <c r="C98" i="37" l="1"/>
  <c r="C97" i="37"/>
  <c r="C96" i="37"/>
  <c r="D137" i="71"/>
  <c r="D48" i="71"/>
  <c r="D33" i="71"/>
  <c r="Q29" i="107" l="1"/>
  <c r="D38" i="71"/>
  <c r="D162" i="71" l="1"/>
  <c r="D139" i="71"/>
  <c r="Q58" i="86" l="1"/>
  <c r="P58" i="86"/>
  <c r="P57" i="86"/>
  <c r="Q56" i="86"/>
  <c r="P56" i="86"/>
  <c r="Q55" i="86"/>
  <c r="P55" i="86"/>
  <c r="P54" i="86"/>
  <c r="P53" i="86"/>
  <c r="Q30" i="86"/>
  <c r="P30" i="86"/>
  <c r="Q29" i="86"/>
  <c r="P29" i="86"/>
  <c r="Q28" i="86"/>
  <c r="P28" i="86"/>
  <c r="Q27" i="86"/>
  <c r="P27" i="86"/>
  <c r="Q26" i="86"/>
  <c r="P26" i="86"/>
  <c r="Q25" i="86"/>
  <c r="P25" i="86"/>
  <c r="Q24" i="86"/>
  <c r="P24" i="86"/>
  <c r="Q23" i="86"/>
  <c r="P23" i="86"/>
  <c r="Q22" i="86"/>
  <c r="P22" i="86"/>
  <c r="P21" i="86"/>
  <c r="Q17" i="101"/>
  <c r="P17" i="101"/>
  <c r="Q15" i="101"/>
  <c r="P15" i="101"/>
  <c r="Q14" i="101"/>
  <c r="P14" i="101"/>
  <c r="Q13" i="101"/>
  <c r="P13" i="101"/>
  <c r="Q12" i="101"/>
  <c r="P12" i="101"/>
  <c r="Q11" i="101"/>
  <c r="P11" i="101"/>
  <c r="Q10" i="101"/>
  <c r="P10" i="101"/>
  <c r="Q9" i="101"/>
  <c r="P9" i="101"/>
  <c r="P8" i="101"/>
  <c r="Q70" i="87"/>
  <c r="P70" i="87"/>
  <c r="P69" i="87"/>
  <c r="Q68" i="87"/>
  <c r="P68" i="87"/>
  <c r="Q67" i="87"/>
  <c r="P67" i="87"/>
  <c r="P66" i="87"/>
  <c r="P65" i="87"/>
  <c r="Q43" i="87"/>
  <c r="P43" i="87"/>
  <c r="Q42" i="87"/>
  <c r="P42" i="87"/>
  <c r="Q41" i="87"/>
  <c r="P41" i="87"/>
  <c r="Q40" i="87"/>
  <c r="P40" i="87"/>
  <c r="Q39" i="87"/>
  <c r="P39" i="87"/>
  <c r="Q38" i="87"/>
  <c r="P38" i="87"/>
  <c r="Q37" i="87"/>
  <c r="P37" i="87"/>
  <c r="Q36" i="87"/>
  <c r="P36" i="87"/>
  <c r="Q35" i="87"/>
  <c r="P35" i="87"/>
  <c r="Q34" i="87"/>
  <c r="P34" i="87"/>
  <c r="Q30" i="87"/>
  <c r="P30" i="87"/>
  <c r="Q29" i="87"/>
  <c r="P29" i="87"/>
  <c r="Q28" i="87"/>
  <c r="P28" i="87"/>
  <c r="Q27" i="87"/>
  <c r="P27" i="87"/>
  <c r="Q26" i="87"/>
  <c r="P26" i="87"/>
  <c r="Q25" i="87"/>
  <c r="P25" i="87"/>
  <c r="Q24" i="87"/>
  <c r="P24" i="87"/>
  <c r="Q23" i="87"/>
  <c r="P23" i="87"/>
  <c r="Q22" i="87"/>
  <c r="P22" i="87"/>
  <c r="P21" i="87"/>
  <c r="Q17" i="120"/>
  <c r="P17" i="120"/>
  <c r="Q15" i="120"/>
  <c r="P15" i="120"/>
  <c r="Q14" i="120"/>
  <c r="P14" i="120"/>
  <c r="Q13" i="120"/>
  <c r="P13" i="120"/>
  <c r="Q12" i="120"/>
  <c r="P12" i="120"/>
  <c r="Q11" i="120"/>
  <c r="P11" i="120"/>
  <c r="Q10" i="120"/>
  <c r="P10" i="120"/>
  <c r="Q9" i="120"/>
  <c r="P9" i="120"/>
  <c r="P11" i="112"/>
  <c r="Q11" i="112"/>
  <c r="P12" i="112"/>
  <c r="Q12" i="112"/>
  <c r="P13" i="112"/>
  <c r="Q13" i="112"/>
  <c r="P14" i="112"/>
  <c r="Q14" i="112"/>
  <c r="P15" i="112"/>
  <c r="Q15" i="112"/>
  <c r="P16" i="112"/>
  <c r="Q16" i="112"/>
  <c r="P17" i="112"/>
  <c r="Q17" i="112"/>
  <c r="S17" i="112" s="1"/>
  <c r="P31" i="116"/>
  <c r="P30" i="116"/>
  <c r="P26" i="114"/>
  <c r="Q26" i="114"/>
  <c r="P27" i="114"/>
  <c r="Q27" i="114"/>
  <c r="P28" i="114"/>
  <c r="Q28" i="114"/>
  <c r="P29" i="114"/>
  <c r="Q29" i="114"/>
  <c r="P56" i="114"/>
  <c r="Q56" i="114"/>
  <c r="Q54" i="114"/>
  <c r="P54" i="114"/>
  <c r="Q53" i="114"/>
  <c r="P53" i="114"/>
  <c r="P55" i="114"/>
  <c r="P52" i="114"/>
  <c r="P51" i="114"/>
  <c r="P20" i="114"/>
  <c r="Q25" i="114"/>
  <c r="P25" i="114"/>
  <c r="Q24" i="114"/>
  <c r="P24" i="114"/>
  <c r="Q23" i="114"/>
  <c r="P23" i="114"/>
  <c r="Q22" i="114"/>
  <c r="P22" i="114"/>
  <c r="Q21" i="114"/>
  <c r="P21" i="114"/>
  <c r="P33" i="114"/>
  <c r="Q33" i="114"/>
  <c r="P34" i="114"/>
  <c r="Q34" i="114"/>
  <c r="P35" i="114"/>
  <c r="Q35" i="114"/>
  <c r="P36" i="114"/>
  <c r="Q36" i="114"/>
  <c r="P37" i="114"/>
  <c r="Q37" i="114"/>
  <c r="P38" i="114"/>
  <c r="Q38" i="114"/>
  <c r="P39" i="114"/>
  <c r="Q39" i="114"/>
  <c r="P40" i="114"/>
  <c r="Q40" i="114"/>
  <c r="P41" i="114"/>
  <c r="Q41" i="114"/>
  <c r="Q32" i="114"/>
  <c r="P32" i="114"/>
  <c r="E30" i="103"/>
  <c r="E53" i="103"/>
  <c r="E108" i="87"/>
  <c r="E105" i="87"/>
  <c r="E86" i="87" s="1"/>
  <c r="E30" i="112"/>
  <c r="E29" i="112"/>
  <c r="E28" i="90"/>
  <c r="E80" i="107"/>
  <c r="E43" i="103"/>
  <c r="E38" i="103"/>
  <c r="E29" i="103"/>
  <c r="L86" i="87" l="1"/>
  <c r="S86" i="87"/>
  <c r="E74" i="87"/>
  <c r="E87" i="87"/>
  <c r="E80" i="87"/>
  <c r="S58" i="87"/>
  <c r="C94" i="37" a="1"/>
  <c r="C94" i="37" s="1"/>
  <c r="C91" i="37"/>
  <c r="C90" i="37"/>
  <c r="D88" i="37"/>
  <c r="C87" i="37"/>
  <c r="C86" i="37"/>
  <c r="C85" i="37"/>
  <c r="C84" i="37"/>
  <c r="C29" i="37" a="1"/>
  <c r="C29" i="37" s="1"/>
  <c r="C31" i="37" a="1"/>
  <c r="C31" i="37" s="1"/>
  <c r="C30" i="37" a="1"/>
  <c r="C30" i="37" s="1"/>
  <c r="C66" i="37" a="1"/>
  <c r="C66" i="37" s="1"/>
  <c r="C70" i="37" a="1"/>
  <c r="C70" i="37" s="1"/>
  <c r="D72" i="37"/>
  <c r="C71" i="37"/>
  <c r="D68" i="37"/>
  <c r="C67" i="37"/>
  <c r="D22" i="37"/>
  <c r="C26" i="37" a="1"/>
  <c r="C26" i="37" s="1"/>
  <c r="C27" i="37" a="1"/>
  <c r="C27" i="37" s="1"/>
  <c r="C28" i="37" a="1"/>
  <c r="C28" i="37" s="1"/>
  <c r="B31" i="107"/>
  <c r="K4" i="115"/>
  <c r="K3" i="115"/>
  <c r="J4" i="115"/>
  <c r="J3" i="115"/>
  <c r="I4" i="115"/>
  <c r="I3" i="115"/>
  <c r="H3" i="115"/>
  <c r="F3" i="115"/>
  <c r="E3" i="115"/>
  <c r="E4" i="115"/>
  <c r="K4" i="39"/>
  <c r="K3" i="39"/>
  <c r="J4" i="39"/>
  <c r="J3" i="39"/>
  <c r="I4" i="39"/>
  <c r="I3" i="39"/>
  <c r="H3" i="39"/>
  <c r="F3" i="39"/>
  <c r="E3" i="39"/>
  <c r="E4" i="39"/>
  <c r="K4" i="70"/>
  <c r="K3" i="70"/>
  <c r="J3" i="70"/>
  <c r="J4" i="70"/>
  <c r="I4" i="70"/>
  <c r="I3" i="70"/>
  <c r="F3" i="70"/>
  <c r="E3" i="70"/>
  <c r="E4" i="70"/>
  <c r="G3" i="70"/>
  <c r="E64" i="37"/>
  <c r="L31" i="68" a="1"/>
  <c r="L31" i="68" s="1"/>
  <c r="L30" i="68" a="1"/>
  <c r="L30" i="68" s="1"/>
  <c r="L26" i="68" a="1"/>
  <c r="L26" i="68" s="1"/>
  <c r="L10" i="68" a="1"/>
  <c r="L10" i="68" s="1"/>
  <c r="L9" i="68" a="1"/>
  <c r="L9" i="68" s="1"/>
  <c r="L5" i="68" a="1"/>
  <c r="L5" i="68" s="1"/>
  <c r="L10" i="39" a="1"/>
  <c r="L10" i="39" s="1"/>
  <c r="L9" i="39" a="1"/>
  <c r="L9" i="39" s="1"/>
  <c r="L5" i="39" a="1"/>
  <c r="L5" i="39" s="1"/>
  <c r="L5" i="70" a="1"/>
  <c r="L5" i="70" s="1"/>
  <c r="L80" i="87" l="1"/>
  <c r="S80" i="87"/>
  <c r="L87" i="87"/>
  <c r="S87" i="87"/>
  <c r="S85" i="87" s="1"/>
  <c r="L74" i="87"/>
  <c r="S74" i="87"/>
  <c r="H3" i="70"/>
  <c r="Q33" i="107" l="1"/>
  <c r="D115" i="37" a="1"/>
  <c r="D115" i="37" s="1"/>
  <c r="D117" i="37" s="1"/>
  <c r="D113" i="37" a="1"/>
  <c r="D113" i="37" s="1"/>
  <c r="D107" i="37" a="1"/>
  <c r="D107" i="37" s="1"/>
  <c r="D108" i="37" a="1"/>
  <c r="D108" i="37" s="1"/>
  <c r="D109" i="37" s="1"/>
  <c r="E80" i="4"/>
  <c r="E61" i="4" s="1"/>
  <c r="E97" i="71"/>
  <c r="F97" i="71"/>
  <c r="F127" i="71" s="1"/>
  <c r="G97" i="71"/>
  <c r="F96" i="71"/>
  <c r="F126" i="71" s="1"/>
  <c r="G96" i="71"/>
  <c r="E96" i="71"/>
  <c r="G67" i="71"/>
  <c r="F67" i="71"/>
  <c r="E67" i="71"/>
  <c r="G127" i="71"/>
  <c r="E127" i="71"/>
  <c r="G126" i="71"/>
  <c r="E126" i="71"/>
  <c r="G130" i="71"/>
  <c r="F130" i="71"/>
  <c r="E130" i="71"/>
  <c r="G129" i="71"/>
  <c r="F129" i="71"/>
  <c r="E129" i="71"/>
  <c r="G128" i="71"/>
  <c r="F128" i="71"/>
  <c r="E128" i="71"/>
  <c r="G125" i="71"/>
  <c r="F125" i="71"/>
  <c r="E125" i="71"/>
  <c r="G124" i="71"/>
  <c r="F124" i="71"/>
  <c r="E124" i="71"/>
  <c r="G123" i="71"/>
  <c r="F123" i="71"/>
  <c r="E123" i="71"/>
  <c r="E121" i="71"/>
  <c r="F121" i="71"/>
  <c r="G121" i="71"/>
  <c r="F120" i="71"/>
  <c r="G120" i="71"/>
  <c r="E120" i="71"/>
  <c r="D114" i="37" a="1"/>
  <c r="L61" i="4" l="1"/>
  <c r="S61" i="4"/>
  <c r="D114" i="37"/>
  <c r="C22" i="128" a="1"/>
  <c r="C22" i="128" s="1"/>
  <c r="D138" i="71" l="1"/>
  <c r="O16" i="69"/>
  <c r="Q12" i="69"/>
  <c r="P12" i="69"/>
  <c r="O12" i="69"/>
  <c r="Q11" i="69"/>
  <c r="P11" i="69"/>
  <c r="O11" i="69"/>
  <c r="Q10" i="69"/>
  <c r="P10" i="69"/>
  <c r="O10" i="69"/>
  <c r="Q9" i="69"/>
  <c r="P9" i="69"/>
  <c r="O9" i="69"/>
  <c r="P8" i="69"/>
  <c r="O8" i="69"/>
  <c r="Q8" i="69"/>
  <c r="Q7" i="69"/>
  <c r="P7" i="69"/>
  <c r="O7" i="69"/>
  <c r="Q3" i="69"/>
  <c r="P3" i="69"/>
  <c r="B2" i="123" l="1"/>
  <c r="B2" i="120"/>
  <c r="B2" i="122"/>
  <c r="B2" i="118"/>
  <c r="B2" i="121"/>
  <c r="B2" i="117"/>
  <c r="B22" i="128" l="1" a="1"/>
  <c r="B22" i="128" s="1"/>
  <c r="B24" i="128"/>
  <c r="B23" i="128"/>
  <c r="C24" i="128"/>
  <c r="C23" i="128"/>
  <c r="P43" i="66" l="1"/>
  <c r="Q43" i="66"/>
  <c r="O43" i="66"/>
  <c r="P15" i="66"/>
  <c r="Q15" i="66"/>
  <c r="O15" i="66"/>
  <c r="P9" i="66"/>
  <c r="Q9" i="66"/>
  <c r="O9" i="66"/>
  <c r="E104" i="107" l="1"/>
  <c r="E103" i="107"/>
  <c r="E105" i="107"/>
  <c r="E106" i="107"/>
  <c r="D22" i="128" a="1"/>
  <c r="D22" i="128" s="1"/>
  <c r="D21" i="128" a="1"/>
  <c r="D21" i="128" s="1"/>
  <c r="E42" i="37"/>
  <c r="Q71" i="107" l="1"/>
  <c r="S71" i="107" s="1"/>
  <c r="Q53" i="85"/>
  <c r="Q22" i="85"/>
  <c r="Q51" i="114"/>
  <c r="S51" i="114" s="1"/>
  <c r="Q21" i="85"/>
  <c r="Q20" i="114"/>
  <c r="S20" i="114" s="1"/>
  <c r="Q53" i="4"/>
  <c r="Q23" i="4"/>
  <c r="Q65" i="87"/>
  <c r="S65" i="87" s="1"/>
  <c r="Q22" i="4"/>
  <c r="Q21" i="87"/>
  <c r="S21" i="87" s="1"/>
  <c r="Q53" i="86"/>
  <c r="S53" i="86" s="1"/>
  <c r="Q21" i="4"/>
  <c r="Q23" i="85"/>
  <c r="Q21" i="86"/>
  <c r="S21" i="86" s="1"/>
  <c r="E33" i="107"/>
  <c r="L33" i="107" s="1"/>
  <c r="E29" i="107"/>
  <c r="L29" i="107" s="1"/>
  <c r="E25" i="107"/>
  <c r="L25" i="107" s="1"/>
  <c r="E21" i="107"/>
  <c r="L21" i="107" s="1"/>
  <c r="L41" i="66"/>
  <c r="L40" i="66"/>
  <c r="L24" i="66"/>
  <c r="L23" i="66"/>
  <c r="L7" i="66"/>
  <c r="L6" i="66"/>
  <c r="S25" i="107" l="1"/>
  <c r="S21" i="107"/>
  <c r="S29" i="107"/>
  <c r="S33" i="107"/>
  <c r="P6" i="66"/>
  <c r="Q6" i="66"/>
  <c r="P7" i="66"/>
  <c r="Q7" i="66"/>
  <c r="P8" i="66"/>
  <c r="Q8" i="66"/>
  <c r="P10" i="66"/>
  <c r="Q10" i="66"/>
  <c r="P11" i="66"/>
  <c r="Q11" i="66"/>
  <c r="O11" i="66"/>
  <c r="O10" i="66"/>
  <c r="O8" i="66"/>
  <c r="O7" i="66"/>
  <c r="O6" i="66"/>
  <c r="Q49" i="66" l="1"/>
  <c r="P49" i="66"/>
  <c r="O49" i="66"/>
  <c r="Q45" i="66"/>
  <c r="P45" i="66"/>
  <c r="O45" i="66"/>
  <c r="Q44" i="66"/>
  <c r="P44" i="66"/>
  <c r="O44" i="66"/>
  <c r="Q42" i="66"/>
  <c r="P42" i="66"/>
  <c r="O42" i="66"/>
  <c r="Q41" i="66"/>
  <c r="P41" i="66"/>
  <c r="O41" i="66"/>
  <c r="Q40" i="66"/>
  <c r="P40" i="66"/>
  <c r="O40" i="66"/>
  <c r="Q32" i="66"/>
  <c r="P32" i="66"/>
  <c r="O32" i="66"/>
  <c r="Q28" i="66"/>
  <c r="P28" i="66"/>
  <c r="O28" i="66"/>
  <c r="Q27" i="66"/>
  <c r="P27" i="66"/>
  <c r="O27" i="66"/>
  <c r="Q26" i="66"/>
  <c r="P26" i="66"/>
  <c r="O26" i="66"/>
  <c r="Q25" i="66"/>
  <c r="P25" i="66"/>
  <c r="O25" i="66"/>
  <c r="Q24" i="66"/>
  <c r="P24" i="66"/>
  <c r="O24" i="66"/>
  <c r="Q23" i="66"/>
  <c r="P23" i="66"/>
  <c r="O23" i="66"/>
  <c r="E35" i="117"/>
  <c r="L8" i="69"/>
  <c r="L7" i="69"/>
  <c r="L3" i="69"/>
  <c r="P29" i="120" l="1"/>
  <c r="P27" i="120"/>
  <c r="E35" i="120"/>
  <c r="P27" i="118"/>
  <c r="E35" i="118"/>
  <c r="D122" i="71" l="1"/>
  <c r="D107" i="71"/>
  <c r="D92" i="71"/>
  <c r="D77" i="71"/>
  <c r="D62" i="71"/>
  <c r="C12" i="128" l="1"/>
  <c r="P16" i="69" l="1"/>
  <c r="Q16" i="69"/>
  <c r="D24" i="128" l="1"/>
  <c r="D23" i="128"/>
  <c r="B6" i="8" a="1"/>
  <c r="B6" i="8" l="1"/>
  <c r="D105" i="37" l="1" a="1"/>
  <c r="D105" i="37" s="1"/>
  <c r="C25" i="37"/>
  <c r="C6" i="128"/>
  <c r="O20" i="117"/>
  <c r="D23" i="66"/>
  <c r="B23" i="107" s="1"/>
  <c r="D24" i="66"/>
  <c r="D6" i="66"/>
  <c r="D7" i="66"/>
  <c r="B19" i="107" l="1"/>
  <c r="N20" i="89"/>
  <c r="E4" i="69" s="1"/>
  <c r="S36" i="107"/>
  <c r="S32" i="107" l="1"/>
  <c r="G58" i="66" l="1"/>
  <c r="O11" i="107"/>
  <c r="O10" i="107"/>
  <c r="O9" i="107"/>
  <c r="B70" i="37" a="1"/>
  <c r="B70" i="37" s="1"/>
  <c r="B66" i="37" a="1"/>
  <c r="B66" i="37" s="1"/>
  <c r="I58" i="66" l="1"/>
  <c r="J58" i="66" s="1"/>
  <c r="I23" i="66"/>
  <c r="J23" i="66" s="1"/>
  <c r="I6" i="66"/>
  <c r="J6" i="66" s="1"/>
  <c r="S49" i="107"/>
  <c r="G41" i="66" l="1"/>
  <c r="G24" i="66"/>
  <c r="H24" i="66" s="1"/>
  <c r="K24" i="66" s="1"/>
  <c r="M24" i="66" s="1"/>
  <c r="G59" i="66"/>
  <c r="H59" i="66" s="1"/>
  <c r="K59" i="66" s="1"/>
  <c r="M59" i="66" s="1"/>
  <c r="G7" i="66"/>
  <c r="H7" i="66" s="1"/>
  <c r="K7" i="66" s="1"/>
  <c r="M7" i="66" s="1"/>
  <c r="S20" i="107"/>
  <c r="N9" i="107"/>
  <c r="G6" i="66" l="1"/>
  <c r="H6" i="66" s="1"/>
  <c r="K6" i="66" s="1"/>
  <c r="M6" i="66" s="1"/>
  <c r="E6" i="66"/>
  <c r="E15" i="66" s="1"/>
  <c r="E23" i="66"/>
  <c r="E32" i="66" s="1"/>
  <c r="E58" i="66"/>
  <c r="E67" i="66" s="1"/>
  <c r="S24" i="107"/>
  <c r="E80" i="85"/>
  <c r="D112" i="37" a="1"/>
  <c r="G23" i="66" l="1"/>
  <c r="H23" i="66" s="1"/>
  <c r="K23" i="66" s="1"/>
  <c r="M23" i="66" s="1"/>
  <c r="E62" i="85"/>
  <c r="E61" i="85"/>
  <c r="H58" i="66"/>
  <c r="K58" i="66" s="1"/>
  <c r="M58" i="66" s="1"/>
  <c r="D112" i="37"/>
  <c r="E76" i="114"/>
  <c r="E80" i="86"/>
  <c r="L61" i="85" l="1"/>
  <c r="S61" i="85"/>
  <c r="L62" i="85"/>
  <c r="S62" i="85"/>
  <c r="E62" i="86"/>
  <c r="E61" i="86"/>
  <c r="E60" i="114"/>
  <c r="E59" i="114"/>
  <c r="C11" i="128"/>
  <c r="D31" i="68"/>
  <c r="D30" i="68"/>
  <c r="D26" i="68"/>
  <c r="D10" i="68"/>
  <c r="D9" i="68"/>
  <c r="D5" i="68"/>
  <c r="D10" i="39"/>
  <c r="B32" i="86" s="1"/>
  <c r="D9" i="39"/>
  <c r="B19" i="86" s="1"/>
  <c r="D5" i="39"/>
  <c r="D10" i="70"/>
  <c r="B32" i="85" s="1"/>
  <c r="D9" i="70"/>
  <c r="B19" i="85" s="1"/>
  <c r="D5" i="70"/>
  <c r="D3" i="69"/>
  <c r="D7" i="69"/>
  <c r="B19" i="4" s="1"/>
  <c r="D8" i="69"/>
  <c r="B32" i="4" s="1"/>
  <c r="D41" i="66"/>
  <c r="B48" i="107" s="1"/>
  <c r="D40" i="66"/>
  <c r="L60" i="114" l="1"/>
  <c r="S60" i="114"/>
  <c r="L61" i="86"/>
  <c r="S61" i="86"/>
  <c r="L59" i="114"/>
  <c r="S59" i="114"/>
  <c r="L62" i="86"/>
  <c r="S62" i="86"/>
  <c r="B32" i="87"/>
  <c r="B19" i="87"/>
  <c r="B27" i="107"/>
  <c r="B35" i="107"/>
  <c r="B2" i="90"/>
  <c r="B2" i="89"/>
  <c r="B2" i="91"/>
  <c r="B2" i="15"/>
  <c r="C10" i="128" a="1"/>
  <c r="C10" i="128" s="1"/>
  <c r="B2" i="104"/>
  <c r="B2" i="100"/>
  <c r="B2" i="99"/>
  <c r="B2" i="97"/>
  <c r="B2" i="96"/>
  <c r="B2" i="93" l="1"/>
  <c r="C13" i="128" l="1"/>
  <c r="C9" i="128"/>
  <c r="C8" i="128"/>
  <c r="O22" i="123" l="1"/>
  <c r="O21" i="123"/>
  <c r="E54" i="37"/>
  <c r="O21" i="121"/>
  <c r="O20" i="123" l="1"/>
  <c r="O20" i="121"/>
  <c r="O22" i="121"/>
  <c r="N20" i="122"/>
  <c r="O21" i="122"/>
  <c r="O20" i="122"/>
  <c r="O22" i="122"/>
  <c r="N20" i="123"/>
  <c r="N20" i="121"/>
  <c r="O20" i="120" l="1"/>
  <c r="O22" i="120" l="1"/>
  <c r="S39" i="120"/>
  <c r="G3" i="115" s="1"/>
  <c r="O21" i="120"/>
  <c r="B2" i="103" l="1"/>
  <c r="B2" i="102"/>
  <c r="B2" i="101"/>
  <c r="F152" i="71" l="1"/>
  <c r="P35" i="117"/>
  <c r="B2" i="92"/>
  <c r="B84" i="37" a="1"/>
  <c r="B84" i="37" s="1"/>
  <c r="B2" i="95"/>
  <c r="B2" i="94"/>
  <c r="F151" i="71" l="1"/>
  <c r="D140" i="71" s="1"/>
  <c r="F155" i="71"/>
  <c r="F153" i="71"/>
  <c r="F156" i="71"/>
  <c r="F154" i="71"/>
  <c r="D142" i="71" l="1"/>
  <c r="D144" i="71" s="1"/>
  <c r="P29" i="117"/>
  <c r="P27" i="117"/>
  <c r="D146" i="71" l="1"/>
  <c r="O20" i="118"/>
  <c r="O21" i="118"/>
  <c r="O22" i="118"/>
  <c r="L15" i="39" l="1"/>
  <c r="L46" i="66"/>
  <c r="L15" i="115"/>
  <c r="L15" i="70"/>
  <c r="L29" i="66"/>
  <c r="L36" i="68"/>
  <c r="L13" i="69"/>
  <c r="L12" i="66"/>
  <c r="L15" i="68"/>
  <c r="L64" i="66"/>
  <c r="S39" i="118"/>
  <c r="G3" i="39" s="1"/>
  <c r="S28" i="107" l="1"/>
  <c r="O21" i="110"/>
  <c r="O20" i="111"/>
  <c r="I6" i="115" s="1"/>
  <c r="O21" i="112"/>
  <c r="O10" i="114"/>
  <c r="O22" i="116"/>
  <c r="O21" i="116"/>
  <c r="O22" i="112"/>
  <c r="O9" i="114"/>
  <c r="I9" i="115" s="1"/>
  <c r="J9" i="115" s="1"/>
  <c r="O21" i="111"/>
  <c r="S63" i="114"/>
  <c r="G14" i="115" s="1"/>
  <c r="O12" i="114"/>
  <c r="O11" i="114"/>
  <c r="O13" i="114"/>
  <c r="S31" i="114"/>
  <c r="G10" i="115" s="1"/>
  <c r="N9" i="114"/>
  <c r="E9" i="115" s="1"/>
  <c r="S62" i="107"/>
  <c r="N20" i="116"/>
  <c r="E8" i="115" s="1"/>
  <c r="O20" i="116"/>
  <c r="I8" i="115" s="1"/>
  <c r="O20" i="112"/>
  <c r="I7" i="115" s="1"/>
  <c r="O22" i="111"/>
  <c r="N20" i="111"/>
  <c r="E6" i="115" s="1"/>
  <c r="O22" i="110"/>
  <c r="N20" i="110"/>
  <c r="E5" i="115" s="1"/>
  <c r="N20" i="112"/>
  <c r="E7" i="115" s="1"/>
  <c r="O20" i="110"/>
  <c r="I5" i="115" s="1"/>
  <c r="G40" i="66" l="1"/>
  <c r="G42" i="66"/>
  <c r="G25" i="66"/>
  <c r="H25" i="66" s="1"/>
  <c r="K25" i="66" s="1"/>
  <c r="M25" i="66" s="1"/>
  <c r="G8" i="66"/>
  <c r="H8" i="66" s="1"/>
  <c r="K8" i="66" s="1"/>
  <c r="M8" i="66" s="1"/>
  <c r="G60" i="66"/>
  <c r="H60" i="66" s="1"/>
  <c r="K60" i="66" s="1"/>
  <c r="M60" i="66" s="1"/>
  <c r="S36" i="112"/>
  <c r="G7" i="115" s="1"/>
  <c r="S33" i="111"/>
  <c r="G6" i="115" s="1"/>
  <c r="S19" i="114"/>
  <c r="G9" i="115" s="1"/>
  <c r="S33" i="110"/>
  <c r="G5" i="115" s="1"/>
  <c r="S46" i="103"/>
  <c r="S33" i="123"/>
  <c r="G4" i="115" s="1"/>
  <c r="S33" i="122"/>
  <c r="G4" i="39" s="1"/>
  <c r="S33" i="116"/>
  <c r="G8" i="115" s="1"/>
  <c r="S23" i="85"/>
  <c r="S22" i="85"/>
  <c r="S33" i="121"/>
  <c r="G4" i="70" s="1"/>
  <c r="S21" i="85"/>
  <c r="S53" i="4"/>
  <c r="S22" i="4"/>
  <c r="S23" i="4"/>
  <c r="S21" i="4"/>
  <c r="S53" i="85"/>
  <c r="C4" i="128"/>
  <c r="S58" i="114"/>
  <c r="G13" i="115" s="1"/>
  <c r="S43" i="114"/>
  <c r="G11" i="115" s="1"/>
  <c r="S46" i="87"/>
  <c r="G11" i="68" s="1"/>
  <c r="S52" i="87"/>
  <c r="S47" i="103" l="1"/>
  <c r="G28" i="68" s="1"/>
  <c r="S45" i="85"/>
  <c r="G11" i="70" s="1"/>
  <c r="G32" i="68"/>
  <c r="H32" i="68" s="1"/>
  <c r="S50" i="114"/>
  <c r="S73" i="114" s="1"/>
  <c r="G12" i="115" l="1"/>
  <c r="P29" i="96" l="1"/>
  <c r="S45" i="86" l="1"/>
  <c r="G11" i="39" s="1"/>
  <c r="P88" i="107" l="1"/>
  <c r="P28" i="96"/>
  <c r="P31" i="94"/>
  <c r="N20" i="94"/>
  <c r="P28" i="93"/>
  <c r="P28" i="92"/>
  <c r="P28" i="91"/>
  <c r="P27" i="91"/>
  <c r="P29" i="90"/>
  <c r="P28" i="89"/>
  <c r="P27" i="89"/>
  <c r="S33" i="85"/>
  <c r="S33" i="93" l="1"/>
  <c r="G6" i="70" s="1"/>
  <c r="E7" i="70"/>
  <c r="S64" i="87"/>
  <c r="S52" i="86"/>
  <c r="G12" i="39" s="1"/>
  <c r="S52" i="85"/>
  <c r="N20" i="103"/>
  <c r="E28" i="68" s="1"/>
  <c r="O20" i="102"/>
  <c r="I27" i="68" s="1"/>
  <c r="N20" i="97"/>
  <c r="E6" i="39" s="1"/>
  <c r="O22" i="100"/>
  <c r="N20" i="104"/>
  <c r="E8" i="68" s="1"/>
  <c r="O20" i="104"/>
  <c r="I29" i="68" s="1"/>
  <c r="O21" i="103"/>
  <c r="N20" i="95"/>
  <c r="E8" i="70" s="1"/>
  <c r="O21" i="96"/>
  <c r="O22" i="97"/>
  <c r="O20" i="89"/>
  <c r="I4" i="69" s="1"/>
  <c r="N20" i="92"/>
  <c r="E5" i="70" s="1"/>
  <c r="O21" i="93"/>
  <c r="O20" i="97"/>
  <c r="I6" i="39" s="1"/>
  <c r="O21" i="104"/>
  <c r="O20" i="99"/>
  <c r="I7" i="39" s="1"/>
  <c r="S33" i="100"/>
  <c r="G8" i="39" s="1"/>
  <c r="O21" i="95"/>
  <c r="S36" i="99"/>
  <c r="G7" i="39" s="1"/>
  <c r="S20" i="86"/>
  <c r="N20" i="96"/>
  <c r="S33" i="104"/>
  <c r="O22" i="104"/>
  <c r="O12" i="107"/>
  <c r="O21" i="90"/>
  <c r="O21" i="91"/>
  <c r="N20" i="93"/>
  <c r="E6" i="70" s="1"/>
  <c r="O22" i="99"/>
  <c r="O20" i="100"/>
  <c r="I8" i="39" s="1"/>
  <c r="O21" i="102"/>
  <c r="O20" i="103"/>
  <c r="O21" i="89"/>
  <c r="O22" i="95"/>
  <c r="O20" i="96"/>
  <c r="O21" i="97"/>
  <c r="O21" i="100"/>
  <c r="O22" i="102"/>
  <c r="O22" i="89"/>
  <c r="O22" i="90"/>
  <c r="O22" i="91"/>
  <c r="O20" i="92"/>
  <c r="O22" i="93"/>
  <c r="O21" i="99"/>
  <c r="S33" i="102"/>
  <c r="O22" i="103"/>
  <c r="S87" i="107"/>
  <c r="S70" i="107"/>
  <c r="O13" i="107"/>
  <c r="I40" i="66"/>
  <c r="J40" i="66" s="1"/>
  <c r="N20" i="102"/>
  <c r="S33" i="101"/>
  <c r="O20" i="101"/>
  <c r="O21" i="101"/>
  <c r="O22" i="101"/>
  <c r="N20" i="100"/>
  <c r="E8" i="39" s="1"/>
  <c r="N20" i="99"/>
  <c r="E7" i="39" s="1"/>
  <c r="S33" i="97"/>
  <c r="G6" i="39" s="1"/>
  <c r="S33" i="96"/>
  <c r="O22" i="96"/>
  <c r="S33" i="95"/>
  <c r="G8" i="70" s="1"/>
  <c r="O20" i="95"/>
  <c r="I8" i="70" s="1"/>
  <c r="O21" i="94"/>
  <c r="O22" i="94"/>
  <c r="S36" i="94"/>
  <c r="G7" i="70" s="1"/>
  <c r="O20" i="94"/>
  <c r="I7" i="70" s="1"/>
  <c r="O20" i="93"/>
  <c r="I6" i="70" s="1"/>
  <c r="O22" i="92"/>
  <c r="S33" i="92"/>
  <c r="G5" i="70" s="1"/>
  <c r="O21" i="92"/>
  <c r="S33" i="91"/>
  <c r="G6" i="69" s="1"/>
  <c r="N20" i="91"/>
  <c r="E6" i="69" s="1"/>
  <c r="O20" i="91"/>
  <c r="I6" i="69" s="1"/>
  <c r="S34" i="90"/>
  <c r="G5" i="69" s="1"/>
  <c r="N20" i="90"/>
  <c r="E5" i="69" s="1"/>
  <c r="O20" i="90"/>
  <c r="I5" i="69" s="1"/>
  <c r="S33" i="89"/>
  <c r="G4" i="69" s="1"/>
  <c r="S79" i="87"/>
  <c r="O13" i="87"/>
  <c r="S20" i="87"/>
  <c r="S33" i="87"/>
  <c r="N9" i="87"/>
  <c r="E30" i="68" s="1"/>
  <c r="O9" i="87"/>
  <c r="S73" i="87"/>
  <c r="O10" i="87"/>
  <c r="O11" i="87"/>
  <c r="S91" i="87"/>
  <c r="G14" i="68" s="1"/>
  <c r="O12" i="87"/>
  <c r="O12" i="86"/>
  <c r="S33" i="86"/>
  <c r="G10" i="39" s="1"/>
  <c r="O9" i="86"/>
  <c r="I9" i="39" s="1"/>
  <c r="S67" i="86"/>
  <c r="G14" i="39" s="1"/>
  <c r="O13" i="86"/>
  <c r="N9" i="86"/>
  <c r="E9" i="39" s="1"/>
  <c r="O10" i="86"/>
  <c r="S60" i="86"/>
  <c r="G13" i="39" s="1"/>
  <c r="O11" i="86"/>
  <c r="S67" i="85"/>
  <c r="G14" i="70" s="1"/>
  <c r="O11" i="85"/>
  <c r="G10" i="70"/>
  <c r="O12" i="85"/>
  <c r="O10" i="85"/>
  <c r="O9" i="85"/>
  <c r="I9" i="70" s="1"/>
  <c r="J9" i="70" s="1"/>
  <c r="O13" i="85"/>
  <c r="N9" i="85"/>
  <c r="E9" i="70" s="1"/>
  <c r="S77" i="86" l="1"/>
  <c r="S102" i="87"/>
  <c r="S101" i="87"/>
  <c r="G45" i="66"/>
  <c r="G28" i="66"/>
  <c r="H28" i="66" s="1"/>
  <c r="K28" i="66" s="1"/>
  <c r="M28" i="66" s="1"/>
  <c r="G63" i="66"/>
  <c r="H63" i="66" s="1"/>
  <c r="K63" i="66" s="1"/>
  <c r="M63" i="66" s="1"/>
  <c r="G11" i="66"/>
  <c r="H11" i="66" s="1"/>
  <c r="K11" i="66" s="1"/>
  <c r="M11" i="66" s="1"/>
  <c r="I9" i="68"/>
  <c r="J9" i="68" s="1"/>
  <c r="I30" i="68"/>
  <c r="G61" i="66"/>
  <c r="H61" i="66" s="1"/>
  <c r="K61" i="66" s="1"/>
  <c r="M61" i="66" s="1"/>
  <c r="G43" i="66"/>
  <c r="G26" i="66"/>
  <c r="H26" i="66" s="1"/>
  <c r="K26" i="66" s="1"/>
  <c r="M26" i="66" s="1"/>
  <c r="G9" i="66"/>
  <c r="H9" i="66" s="1"/>
  <c r="K9" i="66" s="1"/>
  <c r="M9" i="66" s="1"/>
  <c r="G12" i="68"/>
  <c r="G12" i="70"/>
  <c r="I5" i="39"/>
  <c r="G5" i="39"/>
  <c r="E5" i="39"/>
  <c r="I5" i="70"/>
  <c r="G9" i="39"/>
  <c r="G34" i="68"/>
  <c r="E40" i="66"/>
  <c r="E49" i="66" s="1"/>
  <c r="H42" i="66"/>
  <c r="G13" i="68"/>
  <c r="I6" i="68"/>
  <c r="E7" i="68"/>
  <c r="I8" i="68"/>
  <c r="E29" i="68"/>
  <c r="G33" i="68"/>
  <c r="E9" i="68"/>
  <c r="G7" i="68"/>
  <c r="G6" i="68"/>
  <c r="G27" i="68"/>
  <c r="G10" i="68"/>
  <c r="G31" i="68"/>
  <c r="E26" i="68"/>
  <c r="E5" i="68"/>
  <c r="G9" i="68"/>
  <c r="G30" i="68"/>
  <c r="I5" i="68"/>
  <c r="I26" i="68"/>
  <c r="G8" i="68"/>
  <c r="G29" i="68"/>
  <c r="G35" i="68"/>
  <c r="G26" i="68"/>
  <c r="G5" i="68"/>
  <c r="E27" i="68"/>
  <c r="E6" i="68"/>
  <c r="I28" i="68"/>
  <c r="I7" i="68"/>
  <c r="S79" i="107"/>
  <c r="S100" i="107" s="1"/>
  <c r="S99" i="107" l="1"/>
  <c r="S98" i="107"/>
  <c r="S97" i="107"/>
  <c r="G44" i="66"/>
  <c r="H44" i="66" s="1"/>
  <c r="K44" i="66" s="1"/>
  <c r="M44" i="66" s="1"/>
  <c r="G27" i="66"/>
  <c r="H27" i="66" s="1"/>
  <c r="K27" i="66" s="1"/>
  <c r="M27" i="66" s="1"/>
  <c r="G10" i="66"/>
  <c r="H10" i="66" s="1"/>
  <c r="K10" i="66" s="1"/>
  <c r="M10" i="66" s="1"/>
  <c r="G62" i="66"/>
  <c r="H62" i="66" s="1"/>
  <c r="K62" i="66" s="1"/>
  <c r="E18" i="115"/>
  <c r="H41" i="66"/>
  <c r="K41" i="66" s="1"/>
  <c r="M41" i="66" s="1"/>
  <c r="K42" i="66"/>
  <c r="M42" i="66" s="1"/>
  <c r="J8" i="115"/>
  <c r="J7" i="115" s="1"/>
  <c r="J6" i="115" s="1"/>
  <c r="J5" i="115" s="1"/>
  <c r="H10" i="115"/>
  <c r="H43" i="66"/>
  <c r="K43" i="66" s="1"/>
  <c r="M43" i="66" s="1"/>
  <c r="H45" i="66"/>
  <c r="K45" i="66" s="1"/>
  <c r="M45" i="66" s="1"/>
  <c r="E18" i="68"/>
  <c r="E39" i="68"/>
  <c r="H35" i="68"/>
  <c r="E18" i="39"/>
  <c r="H12" i="68"/>
  <c r="H11" i="39"/>
  <c r="S60" i="85"/>
  <c r="M62" i="66" l="1"/>
  <c r="H40" i="66"/>
  <c r="K40" i="66" s="1"/>
  <c r="G13" i="70"/>
  <c r="H12" i="115"/>
  <c r="K12" i="115" s="1"/>
  <c r="M12" i="115" s="1"/>
  <c r="H11" i="115"/>
  <c r="K11" i="115" s="1"/>
  <c r="M11" i="115" s="1"/>
  <c r="H9" i="115"/>
  <c r="K9" i="115" s="1"/>
  <c r="M9" i="115" s="1"/>
  <c r="H13" i="115"/>
  <c r="K13" i="115" s="1"/>
  <c r="M13" i="115" s="1"/>
  <c r="H14" i="115"/>
  <c r="K14" i="115" s="1"/>
  <c r="M14" i="115" s="1"/>
  <c r="F8" i="115"/>
  <c r="F7" i="115" s="1"/>
  <c r="K10" i="115"/>
  <c r="M10" i="115" s="1"/>
  <c r="H11" i="68"/>
  <c r="K11" i="68" s="1"/>
  <c r="M11" i="68" s="1"/>
  <c r="K12" i="68"/>
  <c r="M12" i="68" s="1"/>
  <c r="J8" i="68"/>
  <c r="J7" i="68" s="1"/>
  <c r="J6" i="68" s="1"/>
  <c r="J5" i="68" s="1"/>
  <c r="H10" i="68"/>
  <c r="K10" i="68" s="1"/>
  <c r="M10" i="68" s="1"/>
  <c r="H33" i="68"/>
  <c r="H9" i="68"/>
  <c r="K9" i="68" s="1"/>
  <c r="M9" i="68" s="1"/>
  <c r="H14" i="68"/>
  <c r="K14" i="68" s="1"/>
  <c r="M14" i="68" s="1"/>
  <c r="F29" i="68"/>
  <c r="F28" i="68" s="1"/>
  <c r="H28" i="68" s="1"/>
  <c r="H34" i="68"/>
  <c r="H30" i="68"/>
  <c r="H31" i="68"/>
  <c r="F8" i="68"/>
  <c r="H8" i="68" s="1"/>
  <c r="H13" i="68"/>
  <c r="K13" i="68" s="1"/>
  <c r="M13" i="68" s="1"/>
  <c r="F8" i="39"/>
  <c r="F7" i="39" s="1"/>
  <c r="H13" i="39"/>
  <c r="H10" i="39"/>
  <c r="H12" i="39"/>
  <c r="H9" i="39"/>
  <c r="H14" i="39"/>
  <c r="S20" i="85"/>
  <c r="S77" i="85" s="1"/>
  <c r="M40" i="66" l="1"/>
  <c r="H8" i="115"/>
  <c r="K8" i="115" s="1"/>
  <c r="H8" i="39"/>
  <c r="F6" i="115"/>
  <c r="H7" i="115"/>
  <c r="K7" i="115" s="1"/>
  <c r="K8" i="68"/>
  <c r="F7" i="68"/>
  <c r="F6" i="68" s="1"/>
  <c r="H29" i="68"/>
  <c r="F27" i="68"/>
  <c r="F26" i="68" s="1"/>
  <c r="G9" i="70"/>
  <c r="F6" i="39"/>
  <c r="F5" i="39" s="1"/>
  <c r="H7" i="39"/>
  <c r="H5" i="39" l="1"/>
  <c r="F4" i="39"/>
  <c r="H26" i="68"/>
  <c r="F5" i="115"/>
  <c r="H6" i="115"/>
  <c r="K6" i="115" s="1"/>
  <c r="H27" i="68"/>
  <c r="H7" i="68"/>
  <c r="K7" i="68" s="1"/>
  <c r="H6" i="39"/>
  <c r="F5" i="68"/>
  <c r="H5" i="68" s="1"/>
  <c r="K5" i="68" s="1"/>
  <c r="M5" i="68" s="1"/>
  <c r="H6" i="68"/>
  <c r="K6" i="68" s="1"/>
  <c r="H4" i="39" l="1"/>
  <c r="F4" i="115"/>
  <c r="H5" i="115"/>
  <c r="K5" i="115" s="1"/>
  <c r="S45" i="4"/>
  <c r="M3" i="115" l="1"/>
  <c r="H4" i="115"/>
  <c r="G9" i="69"/>
  <c r="S33" i="4"/>
  <c r="P68" i="4"/>
  <c r="N9" i="4" l="1"/>
  <c r="S67" i="4"/>
  <c r="G12" i="69" s="1"/>
  <c r="P29" i="15"/>
  <c r="P27" i="15"/>
  <c r="G8" i="69" l="1"/>
  <c r="O10" i="4" l="1"/>
  <c r="O9" i="4"/>
  <c r="O13" i="4"/>
  <c r="O12" i="4"/>
  <c r="O11" i="4"/>
  <c r="I7" i="69" l="1"/>
  <c r="J7" i="69" s="1"/>
  <c r="S34" i="15"/>
  <c r="G3" i="69" s="1"/>
  <c r="J30" i="68" l="1"/>
  <c r="K32" i="68" s="1"/>
  <c r="M32" i="68" s="1"/>
  <c r="J9" i="39"/>
  <c r="K11" i="39" s="1"/>
  <c r="M11" i="39" s="1"/>
  <c r="K30" i="68" l="1"/>
  <c r="M30" i="68" s="1"/>
  <c r="K33" i="68"/>
  <c r="M33" i="68" s="1"/>
  <c r="J29" i="68"/>
  <c r="J28" i="68" s="1"/>
  <c r="K28" i="68" s="1"/>
  <c r="K35" i="68"/>
  <c r="M35" i="68" s="1"/>
  <c r="K31" i="68"/>
  <c r="M31" i="68" s="1"/>
  <c r="K34" i="68"/>
  <c r="M34" i="68" s="1"/>
  <c r="K10" i="39"/>
  <c r="M10" i="39" s="1"/>
  <c r="K12" i="39"/>
  <c r="M12" i="39" s="1"/>
  <c r="K9" i="39"/>
  <c r="M9" i="39" s="1"/>
  <c r="K14" i="39"/>
  <c r="M14" i="39" s="1"/>
  <c r="K13" i="39"/>
  <c r="M13" i="39" s="1"/>
  <c r="J8" i="39"/>
  <c r="J7" i="39" s="1"/>
  <c r="J6" i="39" s="1"/>
  <c r="J5" i="39" s="1"/>
  <c r="K5" i="39" l="1"/>
  <c r="M3" i="39" s="1"/>
  <c r="J27" i="68"/>
  <c r="J26" i="68" s="1"/>
  <c r="K26" i="68" s="1"/>
  <c r="M26" i="68" s="1"/>
  <c r="K29" i="68"/>
  <c r="K7" i="39"/>
  <c r="K8" i="39"/>
  <c r="K6" i="39"/>
  <c r="K27" i="68" l="1"/>
  <c r="J8" i="70"/>
  <c r="J7" i="70" s="1"/>
  <c r="J6" i="70" s="1"/>
  <c r="J5" i="70" s="1"/>
  <c r="H8" i="69" l="1"/>
  <c r="H9" i="69"/>
  <c r="H11" i="70"/>
  <c r="K11" i="70" s="1"/>
  <c r="M11" i="70" s="1"/>
  <c r="S20" i="4"/>
  <c r="D163" i="71" l="1"/>
  <c r="D164" i="71" s="1"/>
  <c r="F8" i="70"/>
  <c r="H8" i="70" s="1"/>
  <c r="K8" i="70" s="1"/>
  <c r="H10" i="70"/>
  <c r="K10" i="70" s="1"/>
  <c r="M10" i="70" s="1"/>
  <c r="H12" i="70"/>
  <c r="K12" i="70" s="1"/>
  <c r="M12" i="70" s="1"/>
  <c r="H14" i="70"/>
  <c r="K14" i="70" s="1"/>
  <c r="M14" i="70" s="1"/>
  <c r="H13" i="70"/>
  <c r="K13" i="70" s="1"/>
  <c r="M13" i="70" s="1"/>
  <c r="H9" i="70"/>
  <c r="K9" i="70" s="1"/>
  <c r="M9" i="70" s="1"/>
  <c r="H12" i="69"/>
  <c r="L16" i="115" l="1"/>
  <c r="M16" i="115" s="1"/>
  <c r="L16" i="70"/>
  <c r="M16" i="70" s="1"/>
  <c r="L30" i="66"/>
  <c r="L37" i="68"/>
  <c r="M37" i="68" s="1"/>
  <c r="L14" i="69"/>
  <c r="M14" i="69" s="1"/>
  <c r="L13" i="66"/>
  <c r="M13" i="66" s="1"/>
  <c r="L16" i="68"/>
  <c r="M16" i="68" s="1"/>
  <c r="L65" i="66"/>
  <c r="M65" i="66" s="1"/>
  <c r="L16" i="39"/>
  <c r="L47" i="66"/>
  <c r="M47" i="66" s="1"/>
  <c r="M29" i="66"/>
  <c r="M64" i="66"/>
  <c r="M12" i="66"/>
  <c r="M30" i="66"/>
  <c r="M46" i="66"/>
  <c r="M13" i="69"/>
  <c r="M16" i="39"/>
  <c r="M15" i="39"/>
  <c r="M15" i="115"/>
  <c r="M15" i="70"/>
  <c r="M15" i="68"/>
  <c r="M36" i="68"/>
  <c r="F7" i="70"/>
  <c r="F6" i="70" s="1"/>
  <c r="F5" i="70" s="1"/>
  <c r="K9" i="69"/>
  <c r="M9" i="69" s="1"/>
  <c r="E7" i="69"/>
  <c r="M39" i="68" l="1"/>
  <c r="M49" i="66"/>
  <c r="E23" i="128" s="1"/>
  <c r="M18" i="68"/>
  <c r="M15" i="66"/>
  <c r="M67" i="66"/>
  <c r="E24" i="128" s="1"/>
  <c r="M32" i="66"/>
  <c r="E22" i="128" s="1" a="1"/>
  <c r="E22" i="128" s="1"/>
  <c r="M18" i="115"/>
  <c r="H5" i="70"/>
  <c r="K5" i="70" s="1"/>
  <c r="F4" i="70"/>
  <c r="M18" i="39"/>
  <c r="H7" i="70"/>
  <c r="K7" i="70" s="1"/>
  <c r="H6" i="70"/>
  <c r="K6" i="70" s="1"/>
  <c r="F6" i="69"/>
  <c r="F5" i="69" s="1"/>
  <c r="J6" i="69"/>
  <c r="J5" i="69" s="1"/>
  <c r="K8" i="69"/>
  <c r="M8" i="69" s="1"/>
  <c r="K12" i="69"/>
  <c r="M12" i="69" s="1"/>
  <c r="O20" i="15"/>
  <c r="I3" i="69" s="1"/>
  <c r="O21" i="15"/>
  <c r="O22" i="15"/>
  <c r="H4" i="70" l="1"/>
  <c r="F4" i="69"/>
  <c r="H5" i="69"/>
  <c r="E3" i="69"/>
  <c r="E16" i="69" s="1"/>
  <c r="F3" i="69" l="1"/>
  <c r="H3" i="69" s="1"/>
  <c r="H4" i="69"/>
  <c r="J4" i="69"/>
  <c r="J3" i="69" s="1"/>
  <c r="H6" i="69"/>
  <c r="K6" i="69" l="1"/>
  <c r="K5" i="69"/>
  <c r="G7" i="69" l="1"/>
  <c r="H7" i="69" s="1"/>
  <c r="K7" i="69" s="1"/>
  <c r="K3" i="69"/>
  <c r="K4" i="69"/>
  <c r="C45" i="7"/>
  <c r="C39" i="7"/>
  <c r="I38" i="7"/>
  <c r="H33" i="7"/>
  <c r="I33" i="7" s="1"/>
  <c r="G33" i="7"/>
  <c r="G38" i="7" s="1"/>
  <c r="F33" i="7"/>
  <c r="F38" i="7" s="1"/>
  <c r="E33" i="7"/>
  <c r="E38" i="7" s="1"/>
  <c r="D33" i="7"/>
  <c r="D36" i="7" s="1"/>
  <c r="F34" i="7" s="1"/>
  <c r="F27" i="7"/>
  <c r="D27" i="7"/>
  <c r="H26" i="7"/>
  <c r="F28" i="7" s="1"/>
  <c r="C26" i="7"/>
  <c r="H25" i="7"/>
  <c r="E28" i="7" s="1"/>
  <c r="D25" i="7"/>
  <c r="E24" i="7" s="1"/>
  <c r="H24" i="7"/>
  <c r="D28" i="7" s="1"/>
  <c r="C24" i="7"/>
  <c r="C28" i="7"/>
  <c r="E23" i="7"/>
  <c r="G18" i="7"/>
  <c r="F17" i="7"/>
  <c r="F18" i="7" s="1"/>
  <c r="E17" i="7"/>
  <c r="E18" i="7" s="1"/>
  <c r="D17" i="7"/>
  <c r="D18" i="7" s="1"/>
  <c r="C17" i="7"/>
  <c r="C18" i="7" s="1"/>
  <c r="H16" i="7"/>
  <c r="H15" i="7"/>
  <c r="D15" i="7"/>
  <c r="H14" i="7"/>
  <c r="H13" i="7"/>
  <c r="F13" i="7"/>
  <c r="C16" i="7" s="1"/>
  <c r="E13" i="7"/>
  <c r="C15" i="7" s="1"/>
  <c r="E8" i="7"/>
  <c r="G7" i="7"/>
  <c r="E7" i="7"/>
  <c r="C7" i="7"/>
  <c r="F6" i="7"/>
  <c r="D6" i="7"/>
  <c r="C6" i="7"/>
  <c r="G5" i="7"/>
  <c r="E5" i="7"/>
  <c r="C5" i="7"/>
  <c r="E4" i="7"/>
  <c r="M3" i="69" l="1"/>
  <c r="M7" i="69"/>
  <c r="E26" i="7"/>
  <c r="F25" i="7" s="1"/>
  <c r="E37" i="7"/>
  <c r="G35" i="7" s="1"/>
  <c r="H35" i="7"/>
  <c r="I35" i="7" s="1"/>
  <c r="E39" i="7"/>
  <c r="E16" i="7"/>
  <c r="D16" i="7"/>
  <c r="H36" i="7"/>
  <c r="I36" i="7" s="1"/>
  <c r="F39" i="7"/>
  <c r="H37" i="7"/>
  <c r="I37" i="7" s="1"/>
  <c r="G39" i="7"/>
  <c r="D26" i="7"/>
  <c r="F24" i="7" s="1"/>
  <c r="E36" i="7"/>
  <c r="F35" i="7" s="1"/>
  <c r="D37" i="7"/>
  <c r="G34" i="7" s="1"/>
  <c r="E27" i="7"/>
  <c r="D38" i="7"/>
  <c r="D35" i="7"/>
  <c r="E34" i="7" s="1"/>
  <c r="F37" i="7"/>
  <c r="G36" i="7" s="1"/>
  <c r="D39" i="7" l="1"/>
  <c r="H34" i="7"/>
  <c r="I34" i="7" s="1"/>
  <c r="S52" i="4" l="1"/>
  <c r="S77" i="4" l="1"/>
  <c r="G10" i="69"/>
  <c r="S60" i="4"/>
  <c r="H10" i="69" l="1"/>
  <c r="K10" i="69" s="1"/>
  <c r="M10" i="69" s="1"/>
  <c r="G11" i="69"/>
  <c r="H11" i="69" l="1"/>
  <c r="K11" i="69" s="1"/>
  <c r="M11" i="69" s="1"/>
  <c r="M16" i="69" s="1"/>
  <c r="O22" i="117" l="1"/>
  <c r="E18" i="70"/>
  <c r="O21" i="117"/>
  <c r="S38" i="117" l="1"/>
  <c r="M3" i="70" s="1"/>
  <c r="M18" i="70" l="1"/>
  <c r="E21" i="128" s="1" a="1"/>
  <c r="E21" i="128" s="1"/>
  <c r="E27" i="128" s="1"/>
  <c r="C7" i="128" l="1"/>
  <c r="C15" i="1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Taylor</author>
  </authors>
  <commentList>
    <comment ref="B3" authorId="0" shapeId="0" xr:uid="{00000000-0006-0000-0200-000001000000}">
      <text>
        <r>
          <rPr>
            <b/>
            <sz val="9"/>
            <color indexed="81"/>
            <rFont val="Tahoma"/>
            <family val="2"/>
          </rPr>
          <t>Richard Taylor:</t>
        </r>
        <r>
          <rPr>
            <sz val="9"/>
            <color indexed="81"/>
            <rFont val="Tahoma"/>
            <family val="2"/>
          </rPr>
          <t xml:space="preserve">
multiply by the factor to get "From" "To"</t>
        </r>
      </text>
    </comment>
    <comment ref="B4" authorId="0" shapeId="0" xr:uid="{00000000-0006-0000-0200-000002000000}">
      <text>
        <r>
          <rPr>
            <b/>
            <sz val="9"/>
            <color indexed="81"/>
            <rFont val="Tahoma"/>
            <family val="2"/>
          </rPr>
          <t>Richard Taylor:</t>
        </r>
        <r>
          <rPr>
            <sz val="9"/>
            <color indexed="81"/>
            <rFont val="Tahoma"/>
            <family val="2"/>
          </rPr>
          <t xml:space="preserve">
1 Joule is the energy required to move 1 kg of mass through a distance of 1 meter with speed in meters per second increasing at the rate of 1 meter per second.</t>
        </r>
      </text>
    </comment>
    <comment ref="B7" authorId="0" shapeId="0" xr:uid="{00000000-0006-0000-0200-000003000000}">
      <text>
        <r>
          <rPr>
            <b/>
            <sz val="9"/>
            <color indexed="81"/>
            <rFont val="Tahoma"/>
            <family val="2"/>
          </rPr>
          <t>Richard Taylor:</t>
        </r>
        <r>
          <rPr>
            <sz val="9"/>
            <color indexed="81"/>
            <rFont val="Tahoma"/>
            <family val="2"/>
          </rPr>
          <t xml:space="preserve">
1 Btu or British thermal unit is the energy required to raise the temperature of a pound of water from 60 to 61 degrees Fahernheit. 1 Therm = 100,000 Btu</t>
        </r>
      </text>
    </comment>
    <comment ref="B12" authorId="0" shapeId="0" xr:uid="{00000000-0006-0000-0200-000005000000}">
      <text>
        <r>
          <rPr>
            <b/>
            <sz val="9"/>
            <color indexed="81"/>
            <rFont val="Tahoma"/>
            <family val="2"/>
          </rPr>
          <t>Richard Taylor:</t>
        </r>
        <r>
          <rPr>
            <sz val="9"/>
            <color indexed="81"/>
            <rFont val="Tahoma"/>
            <family val="2"/>
          </rPr>
          <t xml:space="preserve">
multiply by the factor to get "From" "To"</t>
        </r>
      </text>
    </comment>
    <comment ref="B22" authorId="0" shapeId="0" xr:uid="{00000000-0006-0000-0200-000006000000}">
      <text>
        <r>
          <rPr>
            <b/>
            <sz val="9"/>
            <color indexed="81"/>
            <rFont val="Tahoma"/>
            <family val="2"/>
          </rPr>
          <t>Richard Taylor:</t>
        </r>
        <r>
          <rPr>
            <sz val="9"/>
            <color indexed="81"/>
            <rFont val="Tahoma"/>
            <family val="2"/>
          </rPr>
          <t xml:space="preserve">
multiply by the factor to get "From" "To"</t>
        </r>
      </text>
    </comment>
    <comment ref="B32" authorId="0" shapeId="0" xr:uid="{00000000-0006-0000-0200-000007000000}">
      <text>
        <r>
          <rPr>
            <b/>
            <sz val="9"/>
            <color indexed="81"/>
            <rFont val="Tahoma"/>
            <family val="2"/>
          </rPr>
          <t>Richard Taylor:</t>
        </r>
        <r>
          <rPr>
            <sz val="9"/>
            <color indexed="81"/>
            <rFont val="Tahoma"/>
            <family val="2"/>
          </rPr>
          <t xml:space="preserve">
multiply by the factor to get "From" "To"</t>
        </r>
      </text>
    </comment>
    <comment ref="B43" authorId="0" shapeId="0" xr:uid="{00000000-0006-0000-0200-000008000000}">
      <text>
        <r>
          <rPr>
            <b/>
            <sz val="9"/>
            <color indexed="81"/>
            <rFont val="Tahoma"/>
            <family val="2"/>
          </rPr>
          <t>Richard Taylor:</t>
        </r>
        <r>
          <rPr>
            <sz val="9"/>
            <color indexed="81"/>
            <rFont val="Tahoma"/>
            <family val="2"/>
          </rPr>
          <t xml:space="preserve">
multiply by the factor to get "From" "To"</t>
        </r>
      </text>
    </comment>
    <comment ref="B49" authorId="0" shapeId="0" xr:uid="{F6A8F3AB-4FFA-4165-A758-4A32E320FCAD}">
      <text>
        <r>
          <rPr>
            <b/>
            <sz val="9"/>
            <color indexed="81"/>
            <rFont val="Tahoma"/>
            <family val="2"/>
          </rPr>
          <t>Richard Taylor:</t>
        </r>
        <r>
          <rPr>
            <sz val="9"/>
            <color indexed="81"/>
            <rFont val="Tahoma"/>
            <family val="2"/>
          </rPr>
          <t xml:space="preserve">
multiply by the factor to get "From" "To"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60BC8D27-F5F1-45A0-BF08-7E74850CE3A8}">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3CA53DA8-F0AF-468A-BF24-36DC28395A60}">
      <text>
        <r>
          <rPr>
            <sz val="9"/>
            <color indexed="81"/>
            <rFont val="Tahoma"/>
            <family val="2"/>
          </rPr>
          <t>Recycle loops are not included in GHG calculations, as they do not cross the GHG assessment boundary</t>
        </r>
      </text>
    </comment>
    <comment ref="J5" authorId="1" shapeId="0" xr:uid="{56A12A37-8103-40D7-A7A0-66D3D8605B0B}">
      <text>
        <r>
          <rPr>
            <sz val="9"/>
            <color indexed="81"/>
            <rFont val="Tahoma"/>
            <family val="2"/>
          </rPr>
          <t>will be 0 for some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421EA1E-5428-40D1-9C63-401AAFE143C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50B0EF29-6ECE-4080-82E4-3D40C62FA0A6}">
      <text>
        <r>
          <rPr>
            <sz val="9"/>
            <color indexed="81"/>
            <rFont val="Tahoma"/>
            <family val="2"/>
          </rPr>
          <t>Recycle loops are not included in GHG calculations, as they do not cross the GHG assessment boundary</t>
        </r>
      </text>
    </comment>
    <comment ref="J5" authorId="1" shapeId="0" xr:uid="{FE7A6C76-0C28-4300-BFFE-6C5A7FDE2DD5}">
      <text>
        <r>
          <rPr>
            <sz val="9"/>
            <color indexed="81"/>
            <rFont val="Tahoma"/>
            <family val="2"/>
          </rPr>
          <t>will be 0 for some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BAD54B8C-D695-4C9B-A6FE-F1C9658BD56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3A915921-2904-48AE-BB40-41E8BDAC17E1}">
      <text>
        <r>
          <rPr>
            <sz val="9"/>
            <color indexed="81"/>
            <rFont val="Tahoma"/>
            <family val="2"/>
          </rPr>
          <t>Recycle loops are not included in GHG calculations, as they do not cross the GHG assessment boundary</t>
        </r>
      </text>
    </comment>
    <comment ref="J5" authorId="1" shapeId="0" xr:uid="{F86B8B0B-59DF-4056-9449-0CAD01269F68}">
      <text>
        <r>
          <rPr>
            <sz val="9"/>
            <color indexed="81"/>
            <rFont val="Tahoma"/>
            <family val="2"/>
          </rPr>
          <t>will be 0 for some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ED51C0DE-BA40-4CAF-B9BD-2ED3CC0BFD75}">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2031FDF-1BC4-4314-86F7-A0EBC4F34900}">
      <text>
        <r>
          <rPr>
            <sz val="9"/>
            <color indexed="81"/>
            <rFont val="Tahoma"/>
            <family val="2"/>
          </rPr>
          <t>Recycle loops are not included in GHG calculations, as they do not cross the GHG assessment boundary</t>
        </r>
      </text>
    </comment>
    <comment ref="J5" authorId="1" shapeId="0" xr:uid="{5CE43C63-967D-439C-B603-54440F6AC8EB}">
      <text>
        <r>
          <rPr>
            <sz val="9"/>
            <color indexed="81"/>
            <rFont val="Tahoma"/>
            <family val="2"/>
          </rPr>
          <t>will be 0 for some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50798C17-8553-4561-B536-8C1D1CF66F6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1A3B3CCA-8EFB-46CD-B588-B84C5BE28E79}">
      <text>
        <r>
          <rPr>
            <sz val="9"/>
            <color indexed="81"/>
            <rFont val="Tahoma"/>
            <family val="2"/>
          </rPr>
          <t>Recycle loops are not included in GHG calculations, as they do not cross the GHG assessment boundary</t>
        </r>
      </text>
    </comment>
    <comment ref="J5" authorId="1" shapeId="0" xr:uid="{983D037A-3607-4C7B-9621-E750818A2E23}">
      <text>
        <r>
          <rPr>
            <sz val="9"/>
            <color indexed="81"/>
            <rFont val="Tahoma"/>
            <family val="2"/>
          </rPr>
          <t>will be 0 for some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0140484F-089B-4ACC-B6EA-697814DDFCE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86FA1273-292B-4CB5-A863-B7D4B02DE214}">
      <text>
        <r>
          <rPr>
            <sz val="9"/>
            <color indexed="81"/>
            <rFont val="Tahoma"/>
            <family val="2"/>
          </rPr>
          <t>Recycle loops are not included in GHG calculations, as they do not cross the GHG assessment boundary</t>
        </r>
      </text>
    </comment>
    <comment ref="J5" authorId="1" shapeId="0" xr:uid="{B350BB07-5B42-4DCF-A0E1-52D7D0258F9E}">
      <text>
        <r>
          <rPr>
            <sz val="9"/>
            <color indexed="81"/>
            <rFont val="Tahoma"/>
            <family val="2"/>
          </rPr>
          <t>will be 0 for some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A268A125-0929-4E11-B783-F988626A5DB8}">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C918B55D-89C8-46FF-99CF-59E9842B9EF8}">
      <text>
        <r>
          <rPr>
            <sz val="9"/>
            <color indexed="81"/>
            <rFont val="Tahoma"/>
            <family val="2"/>
          </rPr>
          <t>Recycle loops are not included in GHG calculations, as they do not cross the GHG assessment boundary</t>
        </r>
      </text>
    </comment>
    <comment ref="J5" authorId="1" shapeId="0" xr:uid="{3AC8EB0C-CC36-4940-8E1A-0C2AD96361CF}">
      <text>
        <r>
          <rPr>
            <sz val="9"/>
            <color indexed="81"/>
            <rFont val="Tahoma"/>
            <family val="2"/>
          </rPr>
          <t>will be 0 for some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F8D78ECA-0213-4D00-9340-12A768AE944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A800198-34FB-4729-86E9-63AC2F4BDAD5}">
      <text>
        <r>
          <rPr>
            <sz val="9"/>
            <color indexed="81"/>
            <rFont val="Tahoma"/>
            <family val="2"/>
          </rPr>
          <t>Recycle loops are not included in GHG calculations, as they do not cross the GHG assessment boundary</t>
        </r>
      </text>
    </comment>
    <comment ref="J5" authorId="1" shapeId="0" xr:uid="{D74E97C0-74B8-4AE3-920E-0A78CA5016D7}">
      <text>
        <r>
          <rPr>
            <sz val="9"/>
            <color indexed="81"/>
            <rFont val="Tahoma"/>
            <family val="2"/>
          </rPr>
          <t>will be 0 for some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B68D215D-A189-462F-BDA5-2B3C7623BE19}">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FB718475-F335-4817-91E6-F6F243A15302}">
      <text>
        <r>
          <rPr>
            <sz val="9"/>
            <color indexed="81"/>
            <rFont val="Tahoma"/>
            <family val="2"/>
          </rPr>
          <t>Recycle loops are not included in GHG calculations, as they do not cross the GHG assessment boundary</t>
        </r>
      </text>
    </comment>
    <comment ref="J5" authorId="1" shapeId="0" xr:uid="{A8973E8A-6BFD-465D-AD11-4B1596E77472}">
      <text>
        <r>
          <rPr>
            <sz val="9"/>
            <color indexed="81"/>
            <rFont val="Tahoma"/>
            <family val="2"/>
          </rPr>
          <t>will be 0 for some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96F35238-752F-437A-B05A-DD81053325EB}">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0BA8A0B5-ECA9-4248-9B30-75FD6CB5069C}">
      <text>
        <r>
          <rPr>
            <sz val="9"/>
            <color indexed="81"/>
            <rFont val="Tahoma"/>
            <family val="2"/>
          </rPr>
          <t>Recycle loops are not included in GHG calculations, as they do not cross the GHG assessment boundary</t>
        </r>
      </text>
    </comment>
    <comment ref="J5" authorId="1" shapeId="0" xr:uid="{6D978B23-A2CE-4D96-A71B-6F9451145203}">
      <text>
        <r>
          <rPr>
            <sz val="9"/>
            <color indexed="81"/>
            <rFont val="Tahoma"/>
            <family val="2"/>
          </rPr>
          <t>will be 0 for some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7CA0C6D8-021D-4A53-9DE7-632707E2123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DE070F16-2DAF-422B-91B0-7AE53F7CC4CF}">
      <text>
        <r>
          <rPr>
            <sz val="9"/>
            <color indexed="81"/>
            <rFont val="Tahoma"/>
            <family val="2"/>
          </rPr>
          <t>Recycle loops are not included in GHG calculations, as they do not cross the GHG assessment boundary</t>
        </r>
      </text>
    </comment>
    <comment ref="J5" authorId="1" shapeId="0" xr:uid="{DBF8DA8A-AF9D-440B-9AFA-8FAE1BCC95E9}">
      <text>
        <r>
          <rPr>
            <sz val="9"/>
            <color indexed="81"/>
            <rFont val="Tahoma"/>
            <family val="2"/>
          </rPr>
          <t>will be 0 for some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46223433-640A-4CEF-A1F4-B19E2C23083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0AAA8C26-4112-4F53-B182-94C8559B01EE}">
      <text>
        <r>
          <rPr>
            <sz val="9"/>
            <color indexed="81"/>
            <rFont val="Tahoma"/>
            <family val="2"/>
          </rPr>
          <t>Recycle loops are not included in GHG calculations, as they do not cross the GHG assessment boundary</t>
        </r>
      </text>
    </comment>
    <comment ref="J5" authorId="1" shapeId="0" xr:uid="{6786C365-A3C0-4057-A790-1F03308E3B68}">
      <text>
        <r>
          <rPr>
            <sz val="9"/>
            <color indexed="81"/>
            <rFont val="Tahoma"/>
            <family val="2"/>
          </rPr>
          <t>will be 0 for some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312BDC5B-1FC8-4965-A524-E8C6EEDF7F65}">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4CADB936-7D54-4063-B073-386860106DAC}">
      <text>
        <r>
          <rPr>
            <sz val="9"/>
            <color indexed="81"/>
            <rFont val="Tahoma"/>
            <family val="2"/>
          </rPr>
          <t>Recycle loops are not included in GHG calculations, as they do not cross the GHG assessment boundary</t>
        </r>
      </text>
    </comment>
    <comment ref="J5" authorId="1" shapeId="0" xr:uid="{13A4044B-CF5D-46FD-975F-D7D4D41C0C25}">
      <text>
        <r>
          <rPr>
            <sz val="9"/>
            <color indexed="81"/>
            <rFont val="Tahoma"/>
            <family val="2"/>
          </rPr>
          <t>will be 0 for some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6DF0E0B3-A55C-44EF-B2C4-AA06DF7CD2D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4923A4F-AFF1-4374-B79A-4BC7FE4E7430}">
      <text>
        <r>
          <rPr>
            <sz val="9"/>
            <color indexed="81"/>
            <rFont val="Tahoma"/>
            <family val="2"/>
          </rPr>
          <t>Recycle loops are not included in GHG calculations, as they do not cross the GHG assessment boundary</t>
        </r>
      </text>
    </comment>
    <comment ref="J5" authorId="1" shapeId="0" xr:uid="{8A34A9B3-243E-45A2-AB52-715D412F85AD}">
      <text>
        <r>
          <rPr>
            <sz val="9"/>
            <color indexed="81"/>
            <rFont val="Tahoma"/>
            <family val="2"/>
          </rPr>
          <t>will be 0 for some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DE806CE3-0F8E-4635-8D17-170D99E79B5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B6CDE4F0-89F5-4C1E-AD41-8D2F39E2D733}">
      <text>
        <r>
          <rPr>
            <sz val="9"/>
            <color indexed="81"/>
            <rFont val="Tahoma"/>
            <family val="2"/>
          </rPr>
          <t>Recycle loops are not included in GHG calculations, as they do not cross the GHG assessment boundary</t>
        </r>
      </text>
    </comment>
    <comment ref="J5" authorId="1" shapeId="0" xr:uid="{19BF2B9A-4921-4B99-BD78-9B6D7108DE62}">
      <text>
        <r>
          <rPr>
            <sz val="9"/>
            <color indexed="81"/>
            <rFont val="Tahoma"/>
            <family val="2"/>
          </rPr>
          <t>will be 0 for some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395FE6FC-2361-424F-ADA9-D22E1F1C092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45A8229-FD74-49E7-8B8B-DB8A7AF2462A}">
      <text>
        <r>
          <rPr>
            <sz val="9"/>
            <color indexed="81"/>
            <rFont val="Tahoma"/>
            <family val="2"/>
          </rPr>
          <t>Recycle loops are not included in GHG calculations, as they do not cross the GHG assessment boundary</t>
        </r>
      </text>
    </comment>
    <comment ref="J5" authorId="1" shapeId="0" xr:uid="{D9D67E66-CA16-4EF0-A9ED-192A463E3B60}">
      <text>
        <r>
          <rPr>
            <sz val="9"/>
            <color indexed="81"/>
            <rFont val="Tahoma"/>
            <family val="2"/>
          </rPr>
          <t>will be 0 for some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9D46E97-FC6A-4328-801E-824C765FDD3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1F1A260A-0198-4758-916E-D7B2597B1DEB}">
      <text>
        <r>
          <rPr>
            <sz val="9"/>
            <color indexed="81"/>
            <rFont val="Tahoma"/>
            <family val="2"/>
          </rPr>
          <t>Recycle loops are not included in GHG calculations, as they do not cross the GHG assessment boundary</t>
        </r>
      </text>
    </comment>
    <comment ref="J5" authorId="1" shapeId="0" xr:uid="{D533F003-0C86-42FE-B1B9-3BAC2F06789F}">
      <text>
        <r>
          <rPr>
            <sz val="9"/>
            <color indexed="81"/>
            <rFont val="Tahoma"/>
            <family val="2"/>
          </rPr>
          <t>will be 0 for some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76EC030-BFA9-4E18-9CB1-36F58395FA15}">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D572C84B-32C2-4489-85E2-EA4ACAFAE09E}">
      <text>
        <r>
          <rPr>
            <sz val="9"/>
            <color indexed="81"/>
            <rFont val="Tahoma"/>
            <family val="2"/>
          </rPr>
          <t>Recycle loops are not included in GHG calculations, as they do not cross the GHG assessment boundary</t>
        </r>
      </text>
    </comment>
    <comment ref="J5" authorId="1" shapeId="0" xr:uid="{6842A874-1274-4039-9BDB-FB25F5FD6264}">
      <text>
        <r>
          <rPr>
            <sz val="9"/>
            <color indexed="81"/>
            <rFont val="Tahoma"/>
            <family val="2"/>
          </rPr>
          <t>will be 0 for some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8316D63-C61F-4DC6-90AD-CAFD58653FE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58EA2181-246B-4D82-A614-AEB8882E7A35}">
      <text>
        <r>
          <rPr>
            <sz val="9"/>
            <color indexed="81"/>
            <rFont val="Tahoma"/>
            <family val="2"/>
          </rPr>
          <t>Recycle loops are not included in GHG calculations, as they do not cross the GHG assessment boundary</t>
        </r>
      </text>
    </comment>
    <comment ref="J5" authorId="1" shapeId="0" xr:uid="{26FA5DEC-2F13-43D4-B5DB-E0F4D2392161}">
      <text>
        <r>
          <rPr>
            <sz val="9"/>
            <color indexed="81"/>
            <rFont val="Tahoma"/>
            <family val="2"/>
          </rPr>
          <t>will be 0 for some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AEEF654E-773E-4446-87F8-05892B7A949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6CBF52D-6043-4B02-BBC9-BBD722DA0957}">
      <text>
        <r>
          <rPr>
            <sz val="9"/>
            <color indexed="81"/>
            <rFont val="Tahoma"/>
            <family val="2"/>
          </rPr>
          <t>Recycle loops are not included in GHG calculations, as they do not cross the GHG assessment boundary</t>
        </r>
      </text>
    </comment>
    <comment ref="J5" authorId="1" shapeId="0" xr:uid="{986B63F4-5B46-4A3F-9E6F-5B24DE8598C5}">
      <text>
        <r>
          <rPr>
            <sz val="9"/>
            <color indexed="81"/>
            <rFont val="Tahoma"/>
            <family val="2"/>
          </rPr>
          <t>will be 0 for some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2A0E5454-36F6-4332-AF98-7EFE1BAD8E5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565C0588-01A5-4EFA-915B-ACA5F70D62A3}">
      <text>
        <r>
          <rPr>
            <sz val="9"/>
            <color indexed="81"/>
            <rFont val="Tahoma"/>
            <family val="2"/>
          </rPr>
          <t>Recycle loops are not included in GHG calculations, as they do not cross the GHG assessment boundary</t>
        </r>
      </text>
    </comment>
    <comment ref="J5" authorId="1" shapeId="0" xr:uid="{5FA4A5A5-29E6-4989-8724-B9FF0E0823AA}">
      <text>
        <r>
          <rPr>
            <sz val="9"/>
            <color indexed="81"/>
            <rFont val="Tahoma"/>
            <family val="2"/>
          </rPr>
          <t>will be 0 for some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56C5A379-0B37-4784-B14B-347A7906BD0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AE01070-C279-4E5A-A56E-32FDC1BB09BF}">
      <text>
        <r>
          <rPr>
            <sz val="9"/>
            <color indexed="81"/>
            <rFont val="Tahoma"/>
            <family val="2"/>
          </rPr>
          <t>Recycle loops are not included in GHG calculations, as they do not cross the GHG assessment boundary</t>
        </r>
      </text>
    </comment>
    <comment ref="J5" authorId="1" shapeId="0" xr:uid="{7BC43371-F945-4FAD-99C1-13CF41ED084F}">
      <text>
        <r>
          <rPr>
            <sz val="9"/>
            <color indexed="81"/>
            <rFont val="Tahoma"/>
            <family val="2"/>
          </rPr>
          <t>will be 0 for some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7AC26E7-ECBA-4A62-9B66-B08CB8FB3EDA}">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5C82BA91-9A65-4A42-BEF0-FFA8B578CD4F}">
      <text>
        <r>
          <rPr>
            <sz val="9"/>
            <color indexed="81"/>
            <rFont val="Tahoma"/>
            <family val="2"/>
          </rPr>
          <t>Recycle loops are not included in GHG calculations, as they do not cross the GHG assessment boundary</t>
        </r>
      </text>
    </comment>
    <comment ref="J5" authorId="1" shapeId="0" xr:uid="{3B8A459F-D70C-486A-9380-A96485B228FE}">
      <text>
        <r>
          <rPr>
            <sz val="9"/>
            <color indexed="81"/>
            <rFont val="Tahoma"/>
            <family val="2"/>
          </rPr>
          <t>will be 0 for some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5E4B20BF-7D2C-4355-B202-98922E59E11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46806E59-7962-4586-820E-3BAA7AD462E7}">
      <text>
        <r>
          <rPr>
            <sz val="9"/>
            <color indexed="81"/>
            <rFont val="Tahoma"/>
            <family val="2"/>
          </rPr>
          <t>Recycle loops are not included in GHG calculations, as they do not cross the GHG assessment boundary</t>
        </r>
      </text>
    </comment>
    <comment ref="J5" authorId="1" shapeId="0" xr:uid="{983B2FCF-0D79-4BC2-8DF0-E173946E50CC}">
      <text>
        <r>
          <rPr>
            <sz val="9"/>
            <color indexed="81"/>
            <rFont val="Tahoma"/>
            <family val="2"/>
          </rPr>
          <t>will be 0 for some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B29D4880-65DB-475A-A87D-8D124743070F}">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8536F87D-4C9C-4A4B-BBBD-02B2E71BDF3F}">
      <text>
        <r>
          <rPr>
            <sz val="9"/>
            <color indexed="81"/>
            <rFont val="Tahoma"/>
            <family val="2"/>
          </rPr>
          <t>Recycle loops are not included in GHG calculations, as they do not cross the GHG assessment boundary</t>
        </r>
      </text>
    </comment>
    <comment ref="J5" authorId="1" shapeId="0" xr:uid="{275447D7-FCE3-4451-B601-ECAF897E765D}">
      <text>
        <r>
          <rPr>
            <sz val="9"/>
            <color indexed="81"/>
            <rFont val="Tahoma"/>
            <family val="2"/>
          </rPr>
          <t>will be 0 for some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686EBAC-A319-424E-887F-6D083BC8C0E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4C96AE5A-39D6-4B32-B691-031038B55363}">
      <text>
        <r>
          <rPr>
            <sz val="9"/>
            <color indexed="81"/>
            <rFont val="Tahoma"/>
            <family val="2"/>
          </rPr>
          <t>Recycle loops are not included in GHG calculations, as they do not cross the GHG assessment boundary</t>
        </r>
      </text>
    </comment>
    <comment ref="J5" authorId="1" shapeId="0" xr:uid="{469EDFA2-C608-4701-BE59-18B8F1A08E6E}">
      <text>
        <r>
          <rPr>
            <sz val="9"/>
            <color indexed="81"/>
            <rFont val="Tahoma"/>
            <family val="2"/>
          </rPr>
          <t>will be 0 for some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F6EE9F9-00DA-450F-B6ED-9F3FFEA194DA}">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B2BCC674-B3CC-4004-8CE9-AF4CD90AF3C2}">
      <text>
        <r>
          <rPr>
            <sz val="9"/>
            <color indexed="81"/>
            <rFont val="Tahoma"/>
            <family val="2"/>
          </rPr>
          <t>Recycle loops are not included in GHG calculations, as they do not cross the GHG assessment boundary</t>
        </r>
      </text>
    </comment>
    <comment ref="J5" authorId="1" shapeId="0" xr:uid="{BBCB3E9E-BF1B-41B5-8822-1732DBA382F9}">
      <text>
        <r>
          <rPr>
            <sz val="9"/>
            <color indexed="81"/>
            <rFont val="Tahoma"/>
            <family val="2"/>
          </rPr>
          <t>will be 0 for some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00000000-0006-0000-0800-00000100000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6F47E809-8CD4-4F6E-B093-D624E7D8AD0A}">
      <text>
        <r>
          <rPr>
            <sz val="9"/>
            <color indexed="81"/>
            <rFont val="Tahoma"/>
            <family val="2"/>
          </rPr>
          <t>Recycle loops are not included in GHG calculations, as they do not cross the GHG assessment boundary</t>
        </r>
      </text>
    </comment>
    <comment ref="J5" authorId="1" shapeId="0" xr:uid="{5CF8A896-5301-4508-A563-E3D005CD2071}">
      <text>
        <r>
          <rPr>
            <sz val="9"/>
            <color indexed="81"/>
            <rFont val="Tahoma"/>
            <family val="2"/>
          </rPr>
          <t>will be 0 for some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02B1B996-702F-44A1-9553-5422F25D8F8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B2CCB49E-BF25-4674-8F3B-6CC193D21969}">
      <text>
        <r>
          <rPr>
            <sz val="9"/>
            <color indexed="81"/>
            <rFont val="Tahoma"/>
            <family val="2"/>
          </rPr>
          <t>Recycle loops are not included in GHG calculations, as they do not cross the GHG assessment boundary</t>
        </r>
      </text>
    </comment>
    <comment ref="J5" authorId="1" shapeId="0" xr:uid="{47D1408B-88E5-4162-9AAF-CEEBDE21C569}">
      <text>
        <r>
          <rPr>
            <sz val="9"/>
            <color indexed="81"/>
            <rFont val="Tahoma"/>
            <family val="2"/>
          </rPr>
          <t>will be 0 for some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8CDDD70B-A7CE-4E1B-A58A-F6CB33D2744F}">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7BE29060-2554-4504-913B-1C8806A3E75A}">
      <text>
        <r>
          <rPr>
            <sz val="9"/>
            <color indexed="81"/>
            <rFont val="Tahoma"/>
            <family val="2"/>
          </rPr>
          <t>Recycle loops are not included in GHG calculations, as they do not cross the GHG assessment boundary</t>
        </r>
      </text>
    </comment>
    <comment ref="J5" authorId="1" shapeId="0" xr:uid="{8E065E0A-6378-442D-A98B-C12BA1397B4A}">
      <text>
        <r>
          <rPr>
            <sz val="9"/>
            <color indexed="81"/>
            <rFont val="Tahoma"/>
            <family val="2"/>
          </rPr>
          <t>will be 0 for some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C6B9BCF-B3BA-44FF-B069-3170BC0465D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696EA6DA-83F2-4145-83FB-B54CCE894813}">
      <text>
        <r>
          <rPr>
            <sz val="9"/>
            <color indexed="81"/>
            <rFont val="Tahoma"/>
            <family val="2"/>
          </rPr>
          <t>Recycle loops are not included in GHG calculations, as they do not cross the GHG assessment boundary</t>
        </r>
      </text>
    </comment>
    <comment ref="J5" authorId="1" shapeId="0" xr:uid="{A7C29B73-9EF3-42DE-9826-C35B75367ABE}">
      <text>
        <r>
          <rPr>
            <sz val="9"/>
            <color indexed="81"/>
            <rFont val="Tahoma"/>
            <family val="2"/>
          </rPr>
          <t>will be 0 for some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<sst xmlns="http://schemas.openxmlformats.org/spreadsheetml/2006/main" count="5300" uniqueCount="966">
  <si>
    <t>1. Fill in the Initial_questions worksheet</t>
  </si>
  <si>
    <t>On completing the Initial_questions worksheet, the user should apply Custom Views to keep those worksheets relevant to the hydrogen production pathway active, while hiding those worksheets that are not relevant to the pathway of interest. Instructions on how to access Custom Views is provided at the bottom of the Initial_questions worksheet.</t>
  </si>
  <si>
    <t>The user should then navigate to the first step of their production pathway by following the link given at the bottom of the Initial_questions worksheet. Note if the link does not appear, ensure that responses to the questions have been provided in the Initial_questions worksheet.</t>
  </si>
  <si>
    <t>2. Fill in the Hydrogen Production Pathway Worksheets</t>
  </si>
  <si>
    <t>3. View the result in the Summary GHG Worksheet</t>
  </si>
  <si>
    <t>Guidance Worksheets</t>
  </si>
  <si>
    <t>Guidance has been provided to help explain how to use the worksheets in this calculator.</t>
  </si>
  <si>
    <t>Disclaimer</t>
  </si>
  <si>
    <t>Title</t>
  </si>
  <si>
    <t>Landing page, overview instructions and disclaimer</t>
  </si>
  <si>
    <t>Navigation</t>
  </si>
  <si>
    <t>This worksheet, setting out the workbook structure</t>
  </si>
  <si>
    <t>Guidance Initial Qus</t>
  </si>
  <si>
    <t>This sheet explains how to use the Initial questions worksheet</t>
  </si>
  <si>
    <t>Guidance Processing</t>
  </si>
  <si>
    <t>This sheet explains how to use the Processing worksheets</t>
  </si>
  <si>
    <t>Guidance Feedstock dLUC</t>
  </si>
  <si>
    <t>This sheet explains how to use the access the RTFO calculator to calculate direct land use change emissions for the feedstock cultivation worksheets</t>
  </si>
  <si>
    <t>Guidance Summary GHG</t>
  </si>
  <si>
    <t>This sheet explains how to use the Summary GHG worksheets</t>
  </si>
  <si>
    <t>Initial_questions</t>
  </si>
  <si>
    <t>System boundary</t>
  </si>
  <si>
    <t>Dashboard</t>
  </si>
  <si>
    <t>Units</t>
  </si>
  <si>
    <t>Please add any additional unit conversions used throughout the workbook in this worksheet</t>
  </si>
  <si>
    <t>Default data</t>
  </si>
  <si>
    <t>Default data that can be used for feedstock supply, energy supply and input materials categories, and hypothetical compression and purification emissions</t>
  </si>
  <si>
    <t>Assumptions</t>
  </si>
  <si>
    <t>Electricity GHG emissions factors to be used, and other useful reference sources</t>
  </si>
  <si>
    <t>GHG_ELECTROLYSIS</t>
  </si>
  <si>
    <t>GHG_FOSSIL_REFORM_CCS</t>
  </si>
  <si>
    <t>GHG_BIOMETHANE_REFORM</t>
  </si>
  <si>
    <t>GHG_BIOMASS_GASIFICATION</t>
  </si>
  <si>
    <t>GHG_WASTE_GASIFICATION</t>
  </si>
  <si>
    <t>GHG_GENERIC_OTHER</t>
  </si>
  <si>
    <t>Electrolysis</t>
  </si>
  <si>
    <t xml:space="preserve">Fossil natural gas reforming with CCS </t>
  </si>
  <si>
    <t>NG Collection</t>
  </si>
  <si>
    <t>NG Transport</t>
  </si>
  <si>
    <t>NG Processing</t>
  </si>
  <si>
    <t>NG Further Transport</t>
  </si>
  <si>
    <t>NG Reforming + CCS</t>
  </si>
  <si>
    <t xml:space="preserve">Biomethane reforming with or without CCS </t>
  </si>
  <si>
    <t>Biogas Feedstock Cultivation</t>
  </si>
  <si>
    <t>Biogas Feedstock Harvesting</t>
  </si>
  <si>
    <t>Biogas Feedstock Collection</t>
  </si>
  <si>
    <t>Biogas Feedstock Transport</t>
  </si>
  <si>
    <t>Biogas+Biomethane Upgrading</t>
  </si>
  <si>
    <t>Biomethane Transport</t>
  </si>
  <si>
    <t>Biomethane Reforming (+ CCS)</t>
  </si>
  <si>
    <t>Biomass gasification with or without CCS</t>
  </si>
  <si>
    <t>Biomass Cultivation</t>
  </si>
  <si>
    <t>Biomass Harvesting</t>
  </si>
  <si>
    <t>Biomass Collection</t>
  </si>
  <si>
    <t>Biomass Transport</t>
  </si>
  <si>
    <t>Biomass Pre-Processing</t>
  </si>
  <si>
    <t>Biomass Further Transport</t>
  </si>
  <si>
    <t>Biomass Gasification (+ CCS)</t>
  </si>
  <si>
    <t>Waste gasification with or without CCS</t>
  </si>
  <si>
    <t>Waste Collection</t>
  </si>
  <si>
    <t>Waste Transport</t>
  </si>
  <si>
    <t>Waste Pre-Processing</t>
  </si>
  <si>
    <t>Waste Further Transport</t>
  </si>
  <si>
    <t>Waste Gasification (+ CCS)</t>
  </si>
  <si>
    <t>Generic pathway</t>
  </si>
  <si>
    <t>Generic Feedstock Cultivation</t>
  </si>
  <si>
    <t>Generic Feedstock Harvesting</t>
  </si>
  <si>
    <t>Generic Feedstock Collection</t>
  </si>
  <si>
    <t>Generic Feedstock Transport</t>
  </si>
  <si>
    <t>Generic Pre-Processing</t>
  </si>
  <si>
    <t>Generic Further Transport</t>
  </si>
  <si>
    <t>Generic Conversion</t>
  </si>
  <si>
    <t>Version control</t>
  </si>
  <si>
    <t>Initial questions worksheet</t>
  </si>
  <si>
    <t>This sheet provides guidance on how to use the Initial questions worksheet</t>
  </si>
  <si>
    <t>Legend</t>
  </si>
  <si>
    <t>Cells require data input (freeform)</t>
  </si>
  <si>
    <t>Cells require data input (from drop-down menu)</t>
  </si>
  <si>
    <t>Calculation cells</t>
  </si>
  <si>
    <t>Initial questions worksheet overview</t>
  </si>
  <si>
    <t xml:space="preserve">The answers given in the Initial questions worksheet are used to assess compliance of the pathway with the UK Low Carbon Hydrogen Standard. </t>
  </si>
  <si>
    <t>Later questions will update based on the answers given to earlier questions in the worksheet. "Not applicable" is a valid selection if the question is irrelevant to your project.</t>
  </si>
  <si>
    <t xml:space="preserve">The hydrogen production pathway and the feedstock origins should be selected from the drop down lists provided. </t>
  </si>
  <si>
    <r>
      <rPr>
        <b/>
        <sz val="11"/>
        <color rgb="FF000000"/>
        <rFont val="Calibri"/>
        <family val="2"/>
      </rPr>
      <t xml:space="preserve"> Example pathway 1: Fossil SMR with CCS.</t>
    </r>
    <r>
      <rPr>
        <sz val="11"/>
        <color rgb="FF000000"/>
        <rFont val="Calibri"/>
        <family val="2"/>
      </rPr>
      <t xml:space="preserve"> "Not applicable" is a valid selection if the question is irrelevant to your project. For example, this user has selected "Not applicable" to a biogenic feedstock question for their fossil natural gas project.</t>
    </r>
  </si>
  <si>
    <t>Details on the electricity source(s) should be given here. Some questions will update based on previous answers given. Here, all required electricity sources are listed and so questions related to "Other" sources of electricity are updated to show "Not applicable".</t>
  </si>
  <si>
    <r>
      <t>Example pathway 1: Fossil SMR with CCS</t>
    </r>
    <r>
      <rPr>
        <sz val="11"/>
        <color rgb="FF000000"/>
        <rFont val="Calibri"/>
        <family val="2"/>
      </rPr>
      <t>. Questions and sections have updated to reflect pathway selection</t>
    </r>
  </si>
  <si>
    <r>
      <t>Example pathway 2: Biomass gasification with CCS</t>
    </r>
    <r>
      <rPr>
        <sz val="11"/>
        <color rgb="FF000000"/>
        <rFont val="Calibri"/>
        <family val="2"/>
      </rPr>
      <t>. Questions and sections have updated to reflect pathway selection</t>
    </r>
  </si>
  <si>
    <t>Processing worksheet overview</t>
  </si>
  <si>
    <t>The Processing worksheet for the natural gas reforming module of the fossil ATR with CCS pathway is shown below as an example. Note the values in red text are illustrative numbers and should be deleted.</t>
  </si>
  <si>
    <r>
      <t>The processing worksheets are structured into the emissions categories of the UK Low Carbon Hydrogen Standard:
- Energy supply
- Input materials
- Process emissions
- CCS process and infrastructure
- CO</t>
    </r>
    <r>
      <rPr>
        <vertAlign val="subscript"/>
        <sz val="11"/>
        <color rgb="FF000000"/>
        <rFont val="Calibri"/>
        <family val="2"/>
      </rPr>
      <t>2</t>
    </r>
    <r>
      <rPr>
        <sz val="11"/>
        <color rgb="FF000000"/>
        <rFont val="Calibri"/>
        <family val="2"/>
      </rPr>
      <t xml:space="preserve"> sequestration
- Fugitive non-CO</t>
    </r>
    <r>
      <rPr>
        <vertAlign val="subscript"/>
        <sz val="11"/>
        <color rgb="FF000000"/>
        <rFont val="Calibri"/>
        <family val="2"/>
      </rPr>
      <t>2</t>
    </r>
    <r>
      <rPr>
        <sz val="11"/>
        <color rgb="FF000000"/>
        <rFont val="Calibri"/>
        <family val="2"/>
      </rPr>
      <t xml:space="preserve"> emissions</t>
    </r>
  </si>
  <si>
    <t>Energy supply</t>
  </si>
  <si>
    <t>Input materials</t>
  </si>
  <si>
    <r>
      <t>Process emissions, CCS process and infrastructure, CO</t>
    </r>
    <r>
      <rPr>
        <b/>
        <vertAlign val="subscript"/>
        <sz val="11"/>
        <color rgb="FF000098"/>
        <rFont val="Calibri"/>
        <family val="2"/>
      </rPr>
      <t xml:space="preserve">2 </t>
    </r>
    <r>
      <rPr>
        <b/>
        <sz val="11"/>
        <color rgb="FF000098"/>
        <rFont val="Calibri"/>
        <family val="2"/>
      </rPr>
      <t>sequestration</t>
    </r>
  </si>
  <si>
    <r>
      <t>Fugitive non-CO</t>
    </r>
    <r>
      <rPr>
        <b/>
        <vertAlign val="subscript"/>
        <sz val="11"/>
        <color rgb="FF000098"/>
        <rFont val="Calibri"/>
        <family val="2"/>
      </rPr>
      <t>2</t>
    </r>
    <r>
      <rPr>
        <b/>
        <sz val="11"/>
        <color rgb="FF000098"/>
        <rFont val="Calibri"/>
        <family val="2"/>
      </rPr>
      <t xml:space="preserve"> emissions</t>
    </r>
  </si>
  <si>
    <t>Other characteristics</t>
  </si>
  <si>
    <t>Direct Land Use Change (dLUC) Emissions</t>
  </si>
  <si>
    <t>This sheet provides guidance on how to access the RTFO calculator to calculate dLUC emissions for the feedstock cultivation worksheets</t>
  </si>
  <si>
    <t>Direct Land Use Change (dLUC) overview</t>
  </si>
  <si>
    <t>The direct land use change section of the Feedstock Cultivation worksheet for the biomethane ATR with CCS pathway is shown below as an example. Note the values in red text are illustrative numbers and should be deleted.</t>
  </si>
  <si>
    <t>To assist with calculations of dLUC emissions, the Renewable Transport Fuel Obligation (RTFO) calculator may be used. However, this should only be used for calculations of dLUC emissions, for input to this file. In addition, please note that the Low Carbon Hydrogen Standard does not currently allow emissions bonuses for using restored degraded land, soil for carbon accumulation via improved agricultural management, or avoided manure methane credits, so these should not be accounted for in the dLUC value inputted to this file.</t>
  </si>
  <si>
    <t xml:space="preserve">The RTFO calculator software can be downloaded via the following link: </t>
  </si>
  <si>
    <t xml:space="preserve">https://www.gov.uk/government/publications/biofuels-carbon-calculator-rtfo </t>
  </si>
  <si>
    <t>The User Manual for the calculator can also be accessed via the link above and provides guidance on how to use the calculator to generate results for a given supply chain.</t>
  </si>
  <si>
    <t>Summary worksheets</t>
  </si>
  <si>
    <t>This sheet provides guidance on how to use the Summary worksheets</t>
  </si>
  <si>
    <t>Calculation cells (linked to another worksheet or calculated in worksheet)</t>
  </si>
  <si>
    <t>Cell does not require data input and is not a calculation</t>
  </si>
  <si>
    <t>Summary worksheets overview</t>
  </si>
  <si>
    <t>Calculator explanation</t>
  </si>
  <si>
    <t>1: Projected or Default data?</t>
  </si>
  <si>
    <t>If there is insufficient data for the upstream steps of the pathway, there is the option to select default data in the Data sources section of the Initial questions worksheet. There is also default data available for the energy supply and input materials. The default values are listed in the Default data worksheet and are automatically populated in the Summary table based on the pathway selected in the Initial questions worksheet.</t>
  </si>
  <si>
    <t>Selection made in the Initial questions worksheet:</t>
  </si>
  <si>
    <t>Summary worksheet entries are automatically populated based on this selection and the selected GHG emissions from the module are calculated.</t>
  </si>
  <si>
    <r>
      <t>2: GHG emissions from module, WITHOUT allocation (gCO</t>
    </r>
    <r>
      <rPr>
        <b/>
        <vertAlign val="subscript"/>
        <sz val="11"/>
        <color rgb="FF000098"/>
        <rFont val="Calibri"/>
        <family val="2"/>
      </rPr>
      <t>2e</t>
    </r>
    <r>
      <rPr>
        <b/>
        <sz val="11"/>
        <color rgb="FF000098"/>
        <rFont val="Calibri"/>
        <family val="2"/>
      </rPr>
      <t>/MJ</t>
    </r>
    <r>
      <rPr>
        <b/>
        <vertAlign val="subscript"/>
        <sz val="11"/>
        <color rgb="FF000098"/>
        <rFont val="Calibri"/>
        <family val="2"/>
      </rPr>
      <t xml:space="preserve"> LHV</t>
    </r>
    <r>
      <rPr>
        <b/>
        <sz val="11"/>
        <color rgb="FF000098"/>
        <rFont val="Calibri"/>
        <family val="2"/>
      </rPr>
      <t xml:space="preserve"> standard H</t>
    </r>
    <r>
      <rPr>
        <b/>
        <vertAlign val="subscript"/>
        <sz val="11"/>
        <color rgb="FF000098"/>
        <rFont val="Calibri"/>
        <family val="2"/>
      </rPr>
      <t>2</t>
    </r>
    <r>
      <rPr>
        <b/>
        <sz val="11"/>
        <color rgb="FF000098"/>
        <rFont val="Calibri"/>
        <family val="2"/>
      </rPr>
      <t>)</t>
    </r>
  </si>
  <si>
    <t>The emissions from each module, without allocation, is calculated using the following formula:</t>
  </si>
  <si>
    <r>
      <t>3: Projected GHG emissions from module, WITH allocation (gCO</t>
    </r>
    <r>
      <rPr>
        <b/>
        <vertAlign val="subscript"/>
        <sz val="11"/>
        <color rgb="FF000098"/>
        <rFont val="Calibri"/>
        <family val="2"/>
      </rPr>
      <t>2e</t>
    </r>
    <r>
      <rPr>
        <b/>
        <sz val="11"/>
        <color rgb="FF000098"/>
        <rFont val="Calibri"/>
        <family val="2"/>
      </rPr>
      <t>/MJ</t>
    </r>
    <r>
      <rPr>
        <b/>
        <vertAlign val="subscript"/>
        <sz val="11"/>
        <color rgb="FF000098"/>
        <rFont val="Calibri"/>
        <family val="2"/>
      </rPr>
      <t xml:space="preserve"> LHV</t>
    </r>
    <r>
      <rPr>
        <b/>
        <sz val="11"/>
        <color rgb="FF000098"/>
        <rFont val="Calibri"/>
        <family val="2"/>
      </rPr>
      <t xml:space="preserve"> standard H</t>
    </r>
    <r>
      <rPr>
        <b/>
        <vertAlign val="subscript"/>
        <sz val="11"/>
        <color rgb="FF000098"/>
        <rFont val="Calibri"/>
        <family val="2"/>
      </rPr>
      <t>2</t>
    </r>
    <r>
      <rPr>
        <b/>
        <sz val="11"/>
        <color rgb="FF000098"/>
        <rFont val="Calibri"/>
        <family val="2"/>
      </rPr>
      <t>)</t>
    </r>
  </si>
  <si>
    <t>The emissions from each module, with allocation, is calculated using the following formula:</t>
  </si>
  <si>
    <t>The energy allocation approach is used to determine the allocation factor for each module. The upstream and process emissions are assigned to all products and co-products according to the proportion of the total output energy that they each have, as measured on a lower heating value basis.</t>
  </si>
  <si>
    <t>Project name</t>
  </si>
  <si>
    <t>Is the hydrogen production project located in the UK?</t>
  </si>
  <si>
    <t>Yes</t>
  </si>
  <si>
    <t>Details of the project location</t>
  </si>
  <si>
    <t>Technology</t>
  </si>
  <si>
    <t>Please select the hydrogen production pathway relevant to your project</t>
  </si>
  <si>
    <t>Fossil Autothermal Reformer (ATR) with CCS</t>
  </si>
  <si>
    <t>Fossil natural gas</t>
  </si>
  <si>
    <t>UK origin</t>
  </si>
  <si>
    <t>Not applicable</t>
  </si>
  <si>
    <t>Electricity inputs</t>
  </si>
  <si>
    <r>
      <t>MWh</t>
    </r>
    <r>
      <rPr>
        <b/>
        <vertAlign val="subscript"/>
        <sz val="11"/>
        <color rgb="FF000000"/>
        <rFont val="Calibri"/>
        <family val="2"/>
      </rPr>
      <t>e</t>
    </r>
    <r>
      <rPr>
        <b/>
        <sz val="11"/>
        <color rgb="FF000000"/>
        <rFont val="Calibri"/>
        <family val="2"/>
      </rPr>
      <t>/year</t>
    </r>
  </si>
  <si>
    <t>Nuclear electricity</t>
  </si>
  <si>
    <t>Grid electricity (national average)</t>
  </si>
  <si>
    <r>
      <t>kgCO</t>
    </r>
    <r>
      <rPr>
        <b/>
        <vertAlign val="subscript"/>
        <sz val="11"/>
        <color rgb="FF000000"/>
        <rFont val="Calibri"/>
        <family val="2"/>
      </rPr>
      <t>2</t>
    </r>
    <r>
      <rPr>
        <b/>
        <sz val="11"/>
        <color rgb="FF000000"/>
        <rFont val="Calibri"/>
        <family val="2"/>
      </rPr>
      <t>e/kWh</t>
    </r>
    <r>
      <rPr>
        <b/>
        <vertAlign val="subscript"/>
        <sz val="11"/>
        <color rgb="FF000000"/>
        <rFont val="Calibri"/>
        <family val="2"/>
      </rPr>
      <t>e</t>
    </r>
  </si>
  <si>
    <t>Shaped PPA (mix of physically traced generation and grid imported electricity)</t>
  </si>
  <si>
    <t>Other</t>
  </si>
  <si>
    <t>Total (sum-check)</t>
  </si>
  <si>
    <t>Cereals and other starch-rich crops</t>
  </si>
  <si>
    <t>Dedicated truck</t>
  </si>
  <si>
    <t>Hydrogen output</t>
  </si>
  <si>
    <t>What is the proposed hydrogen output pressure of your production plant, after any onsite compression?</t>
  </si>
  <si>
    <t>MPa = (bar/10)</t>
  </si>
  <si>
    <t>What is the proposed hydrogen output purity of your production plant, after any onsite purification?</t>
  </si>
  <si>
    <t>by volume</t>
  </si>
  <si>
    <t>°C</t>
  </si>
  <si>
    <t>Do you agree to provide a Risk Reduction Plan, a Risk Plan and a Risk Monitoring methodology for your fugitive hydrogen emissions?</t>
  </si>
  <si>
    <t>Sequestered in permanent storage</t>
  </si>
  <si>
    <t>The emissions are not claimed or credited elsewhere</t>
  </si>
  <si>
    <t>Offsets are not used in projections</t>
  </si>
  <si>
    <t>Data sources</t>
  </si>
  <si>
    <t>Projected</t>
  </si>
  <si>
    <t>If applicable, please explain your overall approach for determining projected data values, e.g. your own engineering design studies, literature surveys.</t>
  </si>
  <si>
    <t>Next steps:</t>
  </si>
  <si>
    <t>1. Please go to the "View" tab of the Excel ribbon, to the workbook views section and select "Custom views". Alternatively, hold the Alt key, press W and then C.</t>
  </si>
  <si>
    <t>Alternatively:</t>
  </si>
  <si>
    <t>Please note, these links will not work if you have saved the file with any spaces or special characters (other than underscores) in the filename.</t>
  </si>
  <si>
    <t>GHG assessment system boundary</t>
  </si>
  <si>
    <t>Please note, this link will not work if you have saved the file with any spaces or special characters (other than underscores) in the filename.</t>
  </si>
  <si>
    <t>Summary dashboard</t>
  </si>
  <si>
    <t>What pathway technology is proposed?</t>
  </si>
  <si>
    <t>Is the project sited in the UK and yet to be built?</t>
  </si>
  <si>
    <t>What are the pathway GHG emissions (weighted average across all consignments)?</t>
  </si>
  <si>
    <r>
      <t>gCO</t>
    </r>
    <r>
      <rPr>
        <vertAlign val="subscript"/>
        <sz val="11"/>
        <rFont val="Calibri"/>
        <family val="2"/>
      </rPr>
      <t>2</t>
    </r>
    <r>
      <rPr>
        <sz val="11"/>
        <rFont val="Calibri"/>
        <family val="2"/>
      </rPr>
      <t>e/MJ</t>
    </r>
    <r>
      <rPr>
        <vertAlign val="subscript"/>
        <sz val="11"/>
        <rFont val="Calibri"/>
        <family val="2"/>
      </rPr>
      <t>LHV</t>
    </r>
    <r>
      <rPr>
        <sz val="11"/>
        <rFont val="Calibri"/>
        <family val="2"/>
      </rPr>
      <t xml:space="preserve"> H</t>
    </r>
    <r>
      <rPr>
        <vertAlign val="subscript"/>
        <sz val="11"/>
        <rFont val="Calibri"/>
        <family val="2"/>
      </rPr>
      <t>2</t>
    </r>
  </si>
  <si>
    <t>What percentage of the total electricity input is low carbon?</t>
  </si>
  <si>
    <r>
      <t>If applicable, what percentage of process CO</t>
    </r>
    <r>
      <rPr>
        <vertAlign val="subscript"/>
        <sz val="11"/>
        <color rgb="FF000000"/>
        <rFont val="Calibri"/>
        <family val="2"/>
      </rPr>
      <t>2</t>
    </r>
    <r>
      <rPr>
        <sz val="11"/>
        <color rgb="FF000000"/>
        <rFont val="Calibri"/>
        <family val="2"/>
      </rPr>
      <t xml:space="preserve"> is captured as an annual average?</t>
    </r>
  </si>
  <si>
    <t>If applicable, is the project compliant with all of the biomass sustainability criteria?</t>
  </si>
  <si>
    <t>If applicable, what is the reported crop ILUC factor?</t>
  </si>
  <si>
    <t>Has the project agreed to report fugitive hydrogen emissions?</t>
  </si>
  <si>
    <t>Is the project likely to be compliant with the Low Carbon Hydrogen Standard?</t>
  </si>
  <si>
    <t>Consignments - please list all your consignments</t>
  </si>
  <si>
    <t>Data location</t>
  </si>
  <si>
    <r>
      <t>Consignment % of total hydrogen (MJ</t>
    </r>
    <r>
      <rPr>
        <b/>
        <vertAlign val="subscript"/>
        <sz val="11"/>
        <color rgb="FF000000"/>
        <rFont val="Calibri"/>
        <family val="2"/>
      </rPr>
      <t>LHV</t>
    </r>
    <r>
      <rPr>
        <b/>
        <sz val="11"/>
        <color rgb="FF000000"/>
        <rFont val="Calibri"/>
        <family val="2"/>
      </rPr>
      <t xml:space="preserve"> basis)</t>
    </r>
  </si>
  <si>
    <r>
      <t>Consignment GHG emissions (gCO</t>
    </r>
    <r>
      <rPr>
        <b/>
        <vertAlign val="subscript"/>
        <sz val="11"/>
        <rFont val="Calibri"/>
        <family val="2"/>
      </rPr>
      <t>2</t>
    </r>
    <r>
      <rPr>
        <b/>
        <sz val="11"/>
        <rFont val="Calibri"/>
        <family val="2"/>
      </rPr>
      <t>e/MJ</t>
    </r>
    <r>
      <rPr>
        <b/>
        <vertAlign val="subscript"/>
        <sz val="11"/>
        <rFont val="Calibri"/>
        <family val="2"/>
      </rPr>
      <t>LHV</t>
    </r>
    <r>
      <rPr>
        <b/>
        <sz val="11"/>
        <rFont val="Calibri"/>
        <family val="2"/>
      </rPr>
      <t xml:space="preserve"> H</t>
    </r>
    <r>
      <rPr>
        <b/>
        <vertAlign val="subscript"/>
        <sz val="11"/>
        <rFont val="Calibri"/>
        <family val="2"/>
      </rPr>
      <t>2</t>
    </r>
    <r>
      <rPr>
        <b/>
        <sz val="11"/>
        <rFont val="Calibri"/>
        <family val="2"/>
      </rPr>
      <t>)</t>
    </r>
  </si>
  <si>
    <t>Analysed in this workbook</t>
  </si>
  <si>
    <t>Enter feedstock consignment 5 (if required)</t>
  </si>
  <si>
    <t>Not required</t>
  </si>
  <si>
    <t>Enter feedstock consignment 6 (if required)</t>
  </si>
  <si>
    <t>Weighted average</t>
  </si>
  <si>
    <t>Energy conversion factors</t>
  </si>
  <si>
    <t>From                                         To</t>
  </si>
  <si>
    <t>TJ</t>
  </si>
  <si>
    <t>Gcal</t>
  </si>
  <si>
    <t>Mtoe</t>
  </si>
  <si>
    <t>Mbtu</t>
  </si>
  <si>
    <t>GWh</t>
  </si>
  <si>
    <t>Terajoule (TJ)</t>
  </si>
  <si>
    <t>GigaCalorie (Gcal)</t>
  </si>
  <si>
    <t>million tonne of oil equivalent (Mtoe)</t>
  </si>
  <si>
    <t>million British thermal unit (Mbtu)</t>
  </si>
  <si>
    <t>GigaWatt hour (GWh)</t>
  </si>
  <si>
    <t>Mass conversion factors</t>
  </si>
  <si>
    <t>kg</t>
  </si>
  <si>
    <t>te</t>
  </si>
  <si>
    <t>lt</t>
  </si>
  <si>
    <t>st</t>
  </si>
  <si>
    <t>lb</t>
  </si>
  <si>
    <t>oz</t>
  </si>
  <si>
    <t>kilogramme (kg)</t>
  </si>
  <si>
    <t>tonne (te)</t>
  </si>
  <si>
    <t>long ton (lt)</t>
  </si>
  <si>
    <t>short ton (st)</t>
  </si>
  <si>
    <t>pound (lb)</t>
  </si>
  <si>
    <t>ounce (oz)</t>
  </si>
  <si>
    <t>Volume conversion factors</t>
  </si>
  <si>
    <t>gal US</t>
  </si>
  <si>
    <t>gal UK</t>
  </si>
  <si>
    <t>bbl</t>
  </si>
  <si>
    <t>ft3</t>
  </si>
  <si>
    <t>l</t>
  </si>
  <si>
    <t>m3</t>
  </si>
  <si>
    <t>US gallon (gal)</t>
  </si>
  <si>
    <t>UK gallon (gal)</t>
  </si>
  <si>
    <t>barrel (bbl)</t>
  </si>
  <si>
    <t>`</t>
  </si>
  <si>
    <t>litre (l)</t>
  </si>
  <si>
    <t>cubic metre (m3)</t>
  </si>
  <si>
    <t>Length conversion factors</t>
  </si>
  <si>
    <t>in</t>
  </si>
  <si>
    <t>ft</t>
  </si>
  <si>
    <t>yd</t>
  </si>
  <si>
    <t>mi</t>
  </si>
  <si>
    <t>nmi</t>
  </si>
  <si>
    <t>m</t>
  </si>
  <si>
    <t>km</t>
  </si>
  <si>
    <t>inch (in)</t>
  </si>
  <si>
    <t>foot (ft)</t>
  </si>
  <si>
    <t>yard (yd)</t>
  </si>
  <si>
    <t>mile (mi)</t>
  </si>
  <si>
    <t>nautical mile (nmi)</t>
  </si>
  <si>
    <t>metre (m)</t>
  </si>
  <si>
    <t>kilometre (km)</t>
  </si>
  <si>
    <t>Power conversion factors</t>
  </si>
  <si>
    <t>HP</t>
  </si>
  <si>
    <t>kW</t>
  </si>
  <si>
    <t>horsepower (HP) - mechanic</t>
  </si>
  <si>
    <t>kilowatts (kW)</t>
  </si>
  <si>
    <t>Pressure conversion factors</t>
  </si>
  <si>
    <t>Bar</t>
  </si>
  <si>
    <t>MPa</t>
  </si>
  <si>
    <t>Metric Prefixes</t>
  </si>
  <si>
    <t>10^x</t>
  </si>
  <si>
    <t>Prefix</t>
  </si>
  <si>
    <t>Symbol</t>
  </si>
  <si>
    <t>10^24</t>
  </si>
  <si>
    <t>yotta</t>
  </si>
  <si>
    <t>Y</t>
  </si>
  <si>
    <t>10^21</t>
  </si>
  <si>
    <t>zetta</t>
  </si>
  <si>
    <t>Z</t>
  </si>
  <si>
    <t>10^18</t>
  </si>
  <si>
    <t>exa</t>
  </si>
  <si>
    <t>E</t>
  </si>
  <si>
    <t>10^15</t>
  </si>
  <si>
    <t>peta</t>
  </si>
  <si>
    <t>P</t>
  </si>
  <si>
    <t>10^12</t>
  </si>
  <si>
    <t>tera</t>
  </si>
  <si>
    <t>T</t>
  </si>
  <si>
    <t>10^9</t>
  </si>
  <si>
    <t>giga</t>
  </si>
  <si>
    <t>G</t>
  </si>
  <si>
    <t>10^6</t>
  </si>
  <si>
    <t>mega</t>
  </si>
  <si>
    <t>M</t>
  </si>
  <si>
    <t>10^3</t>
  </si>
  <si>
    <t>kilo</t>
  </si>
  <si>
    <t>k</t>
  </si>
  <si>
    <t>10^2</t>
  </si>
  <si>
    <t>hecto</t>
  </si>
  <si>
    <t>h</t>
  </si>
  <si>
    <t>10^1</t>
  </si>
  <si>
    <t>deka</t>
  </si>
  <si>
    <t>da</t>
  </si>
  <si>
    <t>10^-1</t>
  </si>
  <si>
    <t>deci</t>
  </si>
  <si>
    <t>d</t>
  </si>
  <si>
    <t>10^-2</t>
  </si>
  <si>
    <t>centi</t>
  </si>
  <si>
    <t>c</t>
  </si>
  <si>
    <t>10^-3</t>
  </si>
  <si>
    <t>milli</t>
  </si>
  <si>
    <t>10^-6</t>
  </si>
  <si>
    <t>micro</t>
  </si>
  <si>
    <t>10^-9</t>
  </si>
  <si>
    <t>nano</t>
  </si>
  <si>
    <t>n</t>
  </si>
  <si>
    <t>10^-12</t>
  </si>
  <si>
    <t>pico</t>
  </si>
  <si>
    <t>p</t>
  </si>
  <si>
    <t>10^-15</t>
  </si>
  <si>
    <t>femto</t>
  </si>
  <si>
    <t>f</t>
  </si>
  <si>
    <t>10^-18</t>
  </si>
  <si>
    <t>atto</t>
  </si>
  <si>
    <t>a</t>
  </si>
  <si>
    <t>10^-21</t>
  </si>
  <si>
    <t>zepto</t>
  </si>
  <si>
    <t>z</t>
  </si>
  <si>
    <t>10^-24</t>
  </si>
  <si>
    <t>yocto</t>
  </si>
  <si>
    <t>y</t>
  </si>
  <si>
    <t>Sources</t>
  </si>
  <si>
    <t>http://wds.iea.org/wds/pdf/documentation_co2_2012.pdf</t>
  </si>
  <si>
    <t>http://www.exo.net/~pauld/physics/Metric_prefixes.html</t>
  </si>
  <si>
    <t>Global warming potentials (GWP 100)</t>
  </si>
  <si>
    <t>GWP factors over a 100 year period, without climate feedback</t>
  </si>
  <si>
    <t>Greenhouse gas</t>
  </si>
  <si>
    <r>
      <t>GWP factor (in CO</t>
    </r>
    <r>
      <rPr>
        <b/>
        <vertAlign val="subscript"/>
        <sz val="11"/>
        <color rgb="FF000098"/>
        <rFont val="Calibri"/>
        <family val="2"/>
        <scheme val="minor"/>
      </rPr>
      <t>2e</t>
    </r>
    <r>
      <rPr>
        <b/>
        <sz val="11"/>
        <color rgb="FF000098"/>
        <rFont val="Calibri"/>
        <family val="2"/>
        <scheme val="minor"/>
      </rPr>
      <t xml:space="preserve"> g/g)</t>
    </r>
  </si>
  <si>
    <t>Source</t>
  </si>
  <si>
    <r>
      <t>CO</t>
    </r>
    <r>
      <rPr>
        <vertAlign val="subscript"/>
        <sz val="11"/>
        <color rgb="FF000000"/>
        <rFont val="Calibri"/>
        <family val="2"/>
        <scheme val="minor"/>
      </rPr>
      <t>2</t>
    </r>
    <r>
      <rPr>
        <sz val="11"/>
        <color rgb="FF000000"/>
        <rFont val="Calibri"/>
        <family val="2"/>
        <scheme val="minor"/>
      </rPr>
      <t>, carbon dioxide</t>
    </r>
  </si>
  <si>
    <t>IPCC Fifth Assessment Reports (AR5), GWP100 without climate feedback</t>
  </si>
  <si>
    <r>
      <t>CH</t>
    </r>
    <r>
      <rPr>
        <vertAlign val="subscript"/>
        <sz val="11"/>
        <color rgb="FF000000"/>
        <rFont val="Calibri"/>
        <family val="2"/>
        <scheme val="minor"/>
      </rPr>
      <t>4</t>
    </r>
    <r>
      <rPr>
        <sz val="11"/>
        <color rgb="FF000000"/>
        <rFont val="Calibri"/>
        <family val="2"/>
        <scheme val="minor"/>
      </rPr>
      <t>, methane</t>
    </r>
  </si>
  <si>
    <r>
      <t>N</t>
    </r>
    <r>
      <rPr>
        <vertAlign val="subscript"/>
        <sz val="11"/>
        <color rgb="FF000000"/>
        <rFont val="Calibri"/>
        <family val="2"/>
        <scheme val="minor"/>
      </rPr>
      <t>2</t>
    </r>
    <r>
      <rPr>
        <sz val="11"/>
        <color rgb="FF000000"/>
        <rFont val="Calibri"/>
        <family val="2"/>
        <scheme val="minor"/>
      </rPr>
      <t>O, nitrous oxide</t>
    </r>
  </si>
  <si>
    <r>
      <t>SF</t>
    </r>
    <r>
      <rPr>
        <vertAlign val="subscript"/>
        <sz val="11"/>
        <color rgb="FF000000"/>
        <rFont val="Calibri"/>
        <family val="2"/>
        <scheme val="minor"/>
      </rPr>
      <t>6</t>
    </r>
  </si>
  <si>
    <t>HFC-23</t>
  </si>
  <si>
    <t>HFC-32</t>
  </si>
  <si>
    <t>HFC-41</t>
  </si>
  <si>
    <t>HFC-125</t>
  </si>
  <si>
    <t>HFC-134</t>
  </si>
  <si>
    <t>HFC-134a</t>
  </si>
  <si>
    <t>HFC-143</t>
  </si>
  <si>
    <t>HFC-143a</t>
  </si>
  <si>
    <t>HFC-152</t>
  </si>
  <si>
    <t>HFC-152a</t>
  </si>
  <si>
    <t>HFC-161</t>
  </si>
  <si>
    <t>HFC-227ea</t>
  </si>
  <si>
    <t>HFC-236cb</t>
  </si>
  <si>
    <t>HFC-236ea</t>
  </si>
  <si>
    <t>HFC-236fa</t>
  </si>
  <si>
    <t>HFC-245ca</t>
  </si>
  <si>
    <t>HFC-245fa</t>
  </si>
  <si>
    <t>HFC-365mfc</t>
  </si>
  <si>
    <t>HFC-43-10mee</t>
  </si>
  <si>
    <t>Indirect Land Use Change (ILUC) factors for crop feedstock</t>
  </si>
  <si>
    <t>Crop</t>
  </si>
  <si>
    <r>
      <t>gCO</t>
    </r>
    <r>
      <rPr>
        <b/>
        <vertAlign val="subscript"/>
        <sz val="11"/>
        <color rgb="FF000098"/>
        <rFont val="Calibri"/>
        <family val="2"/>
        <scheme val="minor"/>
      </rPr>
      <t>2e</t>
    </r>
    <r>
      <rPr>
        <b/>
        <sz val="11"/>
        <color rgb="FF000098"/>
        <rFont val="Calibri"/>
        <family val="2"/>
        <scheme val="minor"/>
      </rPr>
      <t>/MJ LHV feedstock</t>
    </r>
  </si>
  <si>
    <t>BEIS LCHS Data Annex https://assets.publishing.service.gov.uk/government/uploads/system/uploads/attachment_data/file/1067394/low-carbon-hydrogen-standard-guidance-data-tables.pdf</t>
  </si>
  <si>
    <t>Oil crops</t>
  </si>
  <si>
    <t>Drop-down menu choices</t>
  </si>
  <si>
    <t>Production pathway</t>
  </si>
  <si>
    <t>Status</t>
  </si>
  <si>
    <t>Feedstock location</t>
  </si>
  <si>
    <t>Data type</t>
  </si>
  <si>
    <t>Fossil source</t>
  </si>
  <si>
    <t>Gas grid</t>
  </si>
  <si>
    <t>CO2</t>
  </si>
  <si>
    <t>Credit</t>
  </si>
  <si>
    <t>Feedstock</t>
  </si>
  <si>
    <t>Offset</t>
  </si>
  <si>
    <t>Sustainability</t>
  </si>
  <si>
    <t>Bio</t>
  </si>
  <si>
    <t>Theoretical power input</t>
  </si>
  <si>
    <t>Biomethane</t>
  </si>
  <si>
    <t>Crop groups for iLUC</t>
  </si>
  <si>
    <t>Years</t>
  </si>
  <si>
    <t>Conditioning formatting switch</t>
  </si>
  <si>
    <t>Case</t>
  </si>
  <si>
    <t>Risk</t>
  </si>
  <si>
    <t>Yes, the plant is not yet operational</t>
  </si>
  <si>
    <t>Steam Methane Reformer (SMR)</t>
  </si>
  <si>
    <t>Directly connected to the gas grid</t>
  </si>
  <si>
    <t>The emissions are claimed or credited elsewhere</t>
  </si>
  <si>
    <t>Electricity</t>
  </si>
  <si>
    <t>Waste gasification with CCS</t>
  </si>
  <si>
    <t>Dedicated pipeline/direct connection</t>
  </si>
  <si>
    <t>On</t>
  </si>
  <si>
    <t>Best case</t>
  </si>
  <si>
    <t>Electrolysis using nuclear electricity</t>
  </si>
  <si>
    <t>No</t>
  </si>
  <si>
    <t>Non-UK origin</t>
  </si>
  <si>
    <t>Default</t>
  </si>
  <si>
    <t>Autothermal Reformer (ATR)</t>
  </si>
  <si>
    <t>Not directly connected to the gas grid</t>
  </si>
  <si>
    <t>Utilised</t>
  </si>
  <si>
    <t>Offsets are used in projections</t>
  </si>
  <si>
    <t>Waste gasification without CCS</t>
  </si>
  <si>
    <t>Off</t>
  </si>
  <si>
    <t>Annual average case</t>
  </si>
  <si>
    <t>Analysed in another workbook</t>
  </si>
  <si>
    <t>Electrolysis using grid electricity</t>
  </si>
  <si>
    <t>Mixed</t>
  </si>
  <si>
    <t>Partial Oxidation (POX)</t>
  </si>
  <si>
    <t>Mix of permanent storage and utilisation</t>
  </si>
  <si>
    <t>Other fossil feedstocks</t>
  </si>
  <si>
    <t>Biomethane autothermal reforming (ATR) without CCS</t>
  </si>
  <si>
    <t>Grid electricity</t>
  </si>
  <si>
    <t>Dedicated ship</t>
  </si>
  <si>
    <t>Electrolysis using other electricity input</t>
  </si>
  <si>
    <t>Forest biomass, including forest residues/wastes</t>
  </si>
  <si>
    <t>Biomethane autothermal reforming (ATR) with CCS</t>
  </si>
  <si>
    <t>Electrolysis using mixed electricity inputs</t>
  </si>
  <si>
    <t>Biogenic residues, not from agriculture, aquaculture, fisheries or forestry</t>
  </si>
  <si>
    <t>Fossil Steam Methane Reformer (SMR) with CCS</t>
  </si>
  <si>
    <t>Biogenic wastes, not from agriculture, aquaculture, fisheries or forestry</t>
  </si>
  <si>
    <t>Agricultural biogenic residues or wastes</t>
  </si>
  <si>
    <t>Fossil Partial Oxidation (POX) with CCS</t>
  </si>
  <si>
    <t>Other biogenic feedstock</t>
  </si>
  <si>
    <t>Biomethane Steam Methane Reformer (SMR) with CCS</t>
  </si>
  <si>
    <t>Multiple/mixed feedstocks (including MSW, RDF)</t>
  </si>
  <si>
    <t>Biomethane Steam Methane Reformer (SMR) without CCS</t>
  </si>
  <si>
    <t>Biomethane Autothermal Reformer (ATR) with CCS</t>
  </si>
  <si>
    <t>Biomethane Autothermal Reformer (ATR) without CCS</t>
  </si>
  <si>
    <t>Biomass Gasification with CCS</t>
  </si>
  <si>
    <t>Biomass Gasification without CCS</t>
  </si>
  <si>
    <t>Conditional formatting master switch</t>
  </si>
  <si>
    <t>Data Tables 1-19, Table 1, column I, https://www.gov.uk/government/publications/valuation-of-energy-use-and-greenhouse-gas-emissions-for-appraisal</t>
  </si>
  <si>
    <t>Please note that these are the UK Government's Green Book assumptions, and actual real-world grid factors during processing plant operations may be different to these projections.</t>
  </si>
  <si>
    <t>These values include generation and transmission &amp; distribution losses to an industrial user, but currently exclude any emissions upstream from the electricity generation plants (e.g. from extraction and transport of fossil natural gas to UK CCGT power stations).</t>
  </si>
  <si>
    <t>Compliance with the UK's Low Carbon Hydrogen Standard during plant operations will likely rely on using actual reported UK grid factors for a large number of high-resolution time periods.</t>
  </si>
  <si>
    <t>If your processing plant is due to start-up in e.g. 2025, you therefore may wish to be conservative and take the projected grid factor above from an earlier year to use in your GHG emission calculations, or a larger value.</t>
  </si>
  <si>
    <t>BEIS LCHS Data Annex, Table 5, https://assets.publishing.service.gov.uk/government/uploads/system/uploads/attachment_data/file/1067394/low-carbon-hydrogen-standard-guidance-data-tables.pdf</t>
  </si>
  <si>
    <t>Upstream GHG intensity of fossil natural gas consumed from the UK gas grid</t>
  </si>
  <si>
    <r>
      <t>Fossil natural gas (gCO</t>
    </r>
    <r>
      <rPr>
        <b/>
        <vertAlign val="subscript"/>
        <sz val="11"/>
        <color rgb="FF000000"/>
        <rFont val="Calibri"/>
        <family val="2"/>
      </rPr>
      <t>2e</t>
    </r>
    <r>
      <rPr>
        <b/>
        <sz val="11"/>
        <color rgb="FF000000"/>
        <rFont val="Calibri"/>
        <family val="2"/>
      </rPr>
      <t>/MJ LHV nat gas)</t>
    </r>
  </si>
  <si>
    <t>BEIS LCHS Data Annex, Chapter 3, https://assets.publishing.service.gov.uk/government/uploads/system/uploads/attachment_data/file/1067394/low-carbon-hydrogen-standard-guidance-data-tables.pdf</t>
  </si>
  <si>
    <t>Useful links and references</t>
  </si>
  <si>
    <t>UK Low Carbon Hydrogen Standard - GHG and sustainability guidance</t>
  </si>
  <si>
    <t>UK Low Carbon Hydrogen Standard - annexes to guidance</t>
  </si>
  <si>
    <t>UK Low Carbon Hydrogen Standard - data table annex</t>
  </si>
  <si>
    <t>https://assets.publishing.service.gov.uk/government/uploads/system/uploads/attachment_data/file/1067394/low-carbon-hydrogen-standard-guidance-data-tables.pdf</t>
  </si>
  <si>
    <t>UK Low Carbon Hydrogen Standard consultation - Government response</t>
  </si>
  <si>
    <t>https://www.gov.uk/government/consultations/designing-a-uk-low-carbon-hydrogen-standard</t>
  </si>
  <si>
    <t>UK Government conversion factors for Company Reporting. Year 2021</t>
  </si>
  <si>
    <t>https://www.gov.uk/government/publications/greenhouse-gas-reporting-conversion-factors-2021</t>
  </si>
  <si>
    <t>0.15% methane loss suggested for NTS gas grid transport</t>
  </si>
  <si>
    <t>https://assets.publishing.service.gov.uk/government/uploads/system/uploads/attachment_data/file/694277/rtfo-guidance-part-1-process-guidance-year-11.pdf</t>
  </si>
  <si>
    <t>0.45% methane loss suggested for gas distribution grid transport</t>
  </si>
  <si>
    <t>http://www.element-energy.co.uk/wordpress/wp-content/uploads/2021/08/Zemo-Low-Carbon-Hydrogen-WTT-Pathways-full-report.pdf</t>
  </si>
  <si>
    <t>RTFO guidance</t>
  </si>
  <si>
    <t>https://www.gov.uk/government/publications/renewable-transport-fuel-obligation-rtfo-compliance-reporting-and-verification</t>
  </si>
  <si>
    <t>RTFO Carbon Calculator</t>
  </si>
  <si>
    <t>https://www.gov.uk/government/publications/biofuels-carbon-calculator-rtfo</t>
  </si>
  <si>
    <t>RTFO carbon intensity templates</t>
  </si>
  <si>
    <t>https://assets.publishing.service.gov.uk/government/uploads/system/uploads/attachment_data/file/947712/carbon-intensity-data-templates-2021.ods</t>
  </si>
  <si>
    <t>RED II text</t>
  </si>
  <si>
    <t>https://eur-lex.europa.eu/legal-content/EN/TXT/PDF/?uri=CELEX:32018L2001&amp;from=EN</t>
  </si>
  <si>
    <t>RED II summary</t>
  </si>
  <si>
    <t>https://ec.europa.eu/jrc/en/jec/renewable-energy-recast-2030-red-ii</t>
  </si>
  <si>
    <t>JEC WTT v5</t>
  </si>
  <si>
    <t>https://ec.europa.eu/jrc/en/publication/eur-scientific-and-technical-research-reports/jec-well-tank-report-v5</t>
  </si>
  <si>
    <t>JRC updated input data for biofuel GHG default values</t>
  </si>
  <si>
    <t>https://ec.europa.eu/energy/sites/ener/files/documents/default_values_biofuels_main_reportl_online.pdf</t>
  </si>
  <si>
    <t>JRC updated data for solid/gaseous biogenic GHG default values</t>
  </si>
  <si>
    <t>https://ec.europa.eu/jrc/en/publication/eur-scientific-and-technical-research-reports/solid-and-gaseous-bioenergy-pathways-input-values-and-ghg-emissions-calculated-according-0</t>
  </si>
  <si>
    <t>Biograce II biomass electricity, heating, cooling calculator (RED II compliant)</t>
  </si>
  <si>
    <t>https://www.biograce.net/biograce2/</t>
  </si>
  <si>
    <t>Biograce I biofuels calculator (RED I compliant)</t>
  </si>
  <si>
    <t>http://www.biograce.net/home</t>
  </si>
  <si>
    <t>EcoInvent/ISCC database of GHG emissions</t>
  </si>
  <si>
    <t>https://web.archive.org/web/20190605065129/http://www.arb.ca.gov/fuels/lcfs/workgroups/lcfssustain/ISCC_EU_205_GHG_Calculation_and_GHG_Audit_2.3_eng.pdf</t>
  </si>
  <si>
    <t>Default data derivation</t>
  </si>
  <si>
    <t>All GHG emissions values should be using 100year GWPs from IPCC AR5 without carbon feedbacks</t>
  </si>
  <si>
    <r>
      <t>Processing plant CO</t>
    </r>
    <r>
      <rPr>
        <vertAlign val="subscript"/>
        <sz val="11"/>
        <color theme="1"/>
        <rFont val="Calibri"/>
        <family val="2"/>
        <scheme val="minor"/>
      </rPr>
      <t>2</t>
    </r>
    <r>
      <rPr>
        <sz val="11"/>
        <color theme="1"/>
        <rFont val="Calibri"/>
        <family val="2"/>
        <scheme val="minor"/>
      </rPr>
      <t xml:space="preserve"> generated, CO</t>
    </r>
    <r>
      <rPr>
        <vertAlign val="subscript"/>
        <sz val="11"/>
        <color theme="1"/>
        <rFont val="Calibri"/>
        <family val="2"/>
        <scheme val="minor"/>
      </rPr>
      <t>2</t>
    </r>
    <r>
      <rPr>
        <sz val="11"/>
        <color theme="1"/>
        <rFont val="Calibri"/>
        <family val="2"/>
        <scheme val="minor"/>
      </rPr>
      <t xml:space="preserve"> capture and CCS infrastructure, and CO</t>
    </r>
    <r>
      <rPr>
        <vertAlign val="subscript"/>
        <sz val="11"/>
        <color theme="1"/>
        <rFont val="Calibri"/>
        <family val="2"/>
        <scheme val="minor"/>
      </rPr>
      <t>2</t>
    </r>
    <r>
      <rPr>
        <sz val="11"/>
        <color theme="1"/>
        <rFont val="Calibri"/>
        <family val="2"/>
        <scheme val="minor"/>
      </rPr>
      <t xml:space="preserve"> sequestered values are not accounted for within defaults, projected data has to be used</t>
    </r>
  </si>
  <si>
    <r>
      <t>Fugitive emissions of CH</t>
    </r>
    <r>
      <rPr>
        <vertAlign val="subscript"/>
        <sz val="11"/>
        <color theme="1"/>
        <rFont val="Calibri"/>
        <family val="2"/>
        <scheme val="minor"/>
      </rPr>
      <t>4</t>
    </r>
    <r>
      <rPr>
        <sz val="11"/>
        <color theme="1"/>
        <rFont val="Calibri"/>
        <family val="2"/>
        <scheme val="minor"/>
      </rPr>
      <t>, N</t>
    </r>
    <r>
      <rPr>
        <vertAlign val="subscript"/>
        <sz val="11"/>
        <color theme="1"/>
        <rFont val="Calibri"/>
        <family val="2"/>
        <scheme val="minor"/>
      </rPr>
      <t>2</t>
    </r>
    <r>
      <rPr>
        <sz val="11"/>
        <color theme="1"/>
        <rFont val="Calibri"/>
        <family val="2"/>
        <scheme val="minor"/>
      </rPr>
      <t>O not accounted for within defaults, projected data has to be used instead</t>
    </r>
  </si>
  <si>
    <r>
      <t>Fugitive H</t>
    </r>
    <r>
      <rPr>
        <vertAlign val="subscript"/>
        <sz val="11"/>
        <color theme="1"/>
        <rFont val="Calibri"/>
        <family val="2"/>
        <scheme val="minor"/>
      </rPr>
      <t>2</t>
    </r>
    <r>
      <rPr>
        <sz val="11"/>
        <color theme="1"/>
        <rFont val="Calibri"/>
        <family val="2"/>
        <scheme val="minor"/>
      </rPr>
      <t xml:space="preserve"> emissions and Indirect Land Use Change (ILUC) are to be reported separately, but not included in GHG calculations</t>
    </r>
  </si>
  <si>
    <r>
      <t>Energy supply defaults includes electricity use for CO</t>
    </r>
    <r>
      <rPr>
        <vertAlign val="subscript"/>
        <sz val="11"/>
        <color theme="1"/>
        <rFont val="Calibri"/>
        <family val="2"/>
        <scheme val="minor"/>
      </rPr>
      <t>2</t>
    </r>
    <r>
      <rPr>
        <sz val="11"/>
        <color theme="1"/>
        <rFont val="Calibri"/>
        <family val="2"/>
        <scheme val="minor"/>
      </rPr>
      <t xml:space="preserve"> capture, CO</t>
    </r>
    <r>
      <rPr>
        <vertAlign val="subscript"/>
        <sz val="11"/>
        <color theme="1"/>
        <rFont val="Calibri"/>
        <family val="2"/>
        <scheme val="minor"/>
      </rPr>
      <t>2</t>
    </r>
    <r>
      <rPr>
        <sz val="11"/>
        <color theme="1"/>
        <rFont val="Calibri"/>
        <family val="2"/>
        <scheme val="minor"/>
      </rPr>
      <t xml:space="preserve"> transmission and CO</t>
    </r>
    <r>
      <rPr>
        <vertAlign val="subscript"/>
        <sz val="11"/>
        <color theme="1"/>
        <rFont val="Calibri"/>
        <family val="2"/>
        <scheme val="minor"/>
      </rPr>
      <t>2</t>
    </r>
    <r>
      <rPr>
        <sz val="11"/>
        <color theme="1"/>
        <rFont val="Calibri"/>
        <family val="2"/>
        <scheme val="minor"/>
      </rPr>
      <t xml:space="preserve"> storage for all CCS pathways, as well as H</t>
    </r>
    <r>
      <rPr>
        <vertAlign val="subscript"/>
        <sz val="11"/>
        <color theme="1"/>
        <rFont val="Calibri"/>
        <family val="2"/>
        <scheme val="minor"/>
      </rPr>
      <t>2</t>
    </r>
    <r>
      <rPr>
        <sz val="11"/>
        <color theme="1"/>
        <rFont val="Calibri"/>
        <family val="2"/>
        <scheme val="minor"/>
      </rPr>
      <t xml:space="preserve"> compression and purification. These electricity consumption default values are already aligned to a certain typical CO</t>
    </r>
    <r>
      <rPr>
        <vertAlign val="subscript"/>
        <sz val="11"/>
        <color theme="1"/>
        <rFont val="Calibri"/>
        <family val="2"/>
        <scheme val="minor"/>
      </rPr>
      <t>2</t>
    </r>
    <r>
      <rPr>
        <sz val="11"/>
        <color theme="1"/>
        <rFont val="Calibri"/>
        <family val="2"/>
        <scheme val="minor"/>
      </rPr>
      <t xml:space="preserve"> capture rate which may differ to the actual capture rate of the system, and a certain typical H</t>
    </r>
    <r>
      <rPr>
        <vertAlign val="subscript"/>
        <sz val="11"/>
        <color theme="1"/>
        <rFont val="Calibri"/>
        <family val="2"/>
        <scheme val="minor"/>
      </rPr>
      <t>2</t>
    </r>
    <r>
      <rPr>
        <sz val="11"/>
        <color theme="1"/>
        <rFont val="Calibri"/>
        <family val="2"/>
        <scheme val="minor"/>
      </rPr>
      <t xml:space="preserve"> pressure/purity which may differ to the actual output of the system.</t>
    </r>
  </si>
  <si>
    <t>Feedstock Supply Emissions (for Feedstock extraction/cultivation/collection, transport, pre-processing)</t>
  </si>
  <si>
    <t>Production Pathway</t>
  </si>
  <si>
    <t>Unit</t>
  </si>
  <si>
    <t>Default value</t>
  </si>
  <si>
    <t>LCA tool (central case)</t>
  </si>
  <si>
    <t>LCA tool (best case)</t>
  </si>
  <si>
    <t>LCA tool (worst case)</t>
  </si>
  <si>
    <t>Comments</t>
  </si>
  <si>
    <t xml:space="preserve"> </t>
  </si>
  <si>
    <r>
      <t>gCO</t>
    </r>
    <r>
      <rPr>
        <vertAlign val="subscript"/>
        <sz val="11"/>
        <color rgb="FF000000"/>
        <rFont val="Calibri"/>
        <family val="2"/>
      </rPr>
      <t>2e</t>
    </r>
    <r>
      <rPr>
        <sz val="11"/>
        <color rgb="FF000000"/>
        <rFont val="Calibri"/>
        <family val="2"/>
      </rPr>
      <t>/MJ H</t>
    </r>
    <r>
      <rPr>
        <vertAlign val="subscript"/>
        <sz val="11"/>
        <color rgb="FF000000"/>
        <rFont val="Calibri"/>
        <family val="2"/>
      </rPr>
      <t>2</t>
    </r>
    <r>
      <rPr>
        <sz val="11"/>
        <color rgb="FF000000"/>
        <rFont val="Calibri"/>
        <family val="2"/>
      </rPr>
      <t xml:space="preserve"> (LHV)</t>
    </r>
  </si>
  <si>
    <t>Pathway not analysed</t>
  </si>
  <si>
    <t>Use projected</t>
  </si>
  <si>
    <t>It is assumed that biogas and biomethane production are included in feedstock step emissions, not in processing</t>
  </si>
  <si>
    <t>Collection and transportation</t>
  </si>
  <si>
    <t>Collection, RDF pre-processing and transportation</t>
  </si>
  <si>
    <t>It is assumed grid electricity emissions are included in Energy supply, not in Feedstock supply</t>
  </si>
  <si>
    <t>Nuclear electrolysis</t>
  </si>
  <si>
    <t>It is assumed nuclear energy emissions are included in Energy supply, not in Feedstock supply</t>
  </si>
  <si>
    <t>Energy supply (electricity, steam, heat, upstream fuel supply emissions)</t>
  </si>
  <si>
    <t>Includes power input to SMR+CCS only - i.e. electricity used in biogas/biomethane production is included within feedstock emissions</t>
  </si>
  <si>
    <t>Includes power input to ATR+CCS - i.e. biogas/biomethane production is included within feedstock emissions</t>
  </si>
  <si>
    <t>Input materials (upstream material emissions, but not emissions from their use in the process)</t>
  </si>
  <si>
    <t>Chemicals for gasification</t>
  </si>
  <si>
    <t>Chemicals and oxygen</t>
  </si>
  <si>
    <t>From tap water, HCl and NaOH</t>
  </si>
  <si>
    <t>Process CO2 generated (for comparison purposes only)</t>
  </si>
  <si>
    <t>CCS process and infrastructure (for comparison purposes only)</t>
  </si>
  <si>
    <t>Already within Energy supply</t>
  </si>
  <si>
    <t>Grid electricity for CO2 compression, pipeline transport and injection already included within LCA tool Energy Supply emissions above</t>
  </si>
  <si>
    <t>CO2 sequestration (for comparison purposes only)</t>
  </si>
  <si>
    <t>Fugitive non-CO2 emissions (for comparison purposes only)</t>
  </si>
  <si>
    <t>NA</t>
  </si>
  <si>
    <t>Hydrogen theoretical compression</t>
  </si>
  <si>
    <t>Parameters</t>
  </si>
  <si>
    <t>Value</t>
  </si>
  <si>
    <t>⁰C</t>
  </si>
  <si>
    <t>Initial specific volume (Vo)</t>
  </si>
  <si>
    <r>
      <t>m</t>
    </r>
    <r>
      <rPr>
        <vertAlign val="superscript"/>
        <sz val="11"/>
        <color rgb="FF000000"/>
        <rFont val="Calibri"/>
        <family val="2"/>
      </rPr>
      <t>3</t>
    </r>
    <r>
      <rPr>
        <sz val="11"/>
        <color rgb="FF000000"/>
        <rFont val="Calibri"/>
        <family val="2"/>
      </rPr>
      <t>/kg</t>
    </r>
  </si>
  <si>
    <t>Rounds temperature to the nearest 25 degrees, to match the specific volume formula</t>
  </si>
  <si>
    <t>Adiabatic coefficient (n)</t>
  </si>
  <si>
    <t>Specific compression work required, no losses</t>
  </si>
  <si>
    <t>J/kg</t>
  </si>
  <si>
    <t>Adiabatic efficiency (η)</t>
  </si>
  <si>
    <t>%</t>
  </si>
  <si>
    <t>Specific compression power with losses</t>
  </si>
  <si>
    <t>GHG intensity of electricity used</t>
  </si>
  <si>
    <t>GHG emissions due to compression</t>
  </si>
  <si>
    <t>Specific volume values</t>
  </si>
  <si>
    <r>
      <t>Temperature (</t>
    </r>
    <r>
      <rPr>
        <b/>
        <vertAlign val="superscript"/>
        <sz val="10"/>
        <rFont val="Calibri"/>
        <family val="2"/>
        <scheme val="minor"/>
      </rPr>
      <t>o</t>
    </r>
    <r>
      <rPr>
        <b/>
        <sz val="10"/>
        <rFont val="Calibri"/>
        <family val="2"/>
        <scheme val="minor"/>
      </rPr>
      <t>C)</t>
    </r>
  </si>
  <si>
    <t>α</t>
  </si>
  <si>
    <t>β</t>
  </si>
  <si>
    <r>
      <t>R</t>
    </r>
    <r>
      <rPr>
        <b/>
        <vertAlign val="superscript"/>
        <sz val="11"/>
        <color theme="1"/>
        <rFont val="Calibri"/>
        <family val="2"/>
        <scheme val="minor"/>
      </rPr>
      <t>2</t>
    </r>
  </si>
  <si>
    <t>Hydrogen theoretical purification</t>
  </si>
  <si>
    <t>Purification energy with losses</t>
  </si>
  <si>
    <r>
      <t>kWhe/kgH</t>
    </r>
    <r>
      <rPr>
        <vertAlign val="subscript"/>
        <sz val="11"/>
        <rFont val="Calibri"/>
        <family val="2"/>
      </rPr>
      <t>2</t>
    </r>
  </si>
  <si>
    <t>GHG emissions due to purification</t>
  </si>
  <si>
    <t>Supply chain module (Excel worksheet)</t>
  </si>
  <si>
    <t>UK Low Carbon Hydrogen Standard emissions category</t>
  </si>
  <si>
    <t>Projected or default data?</t>
  </si>
  <si>
    <r>
      <t xml:space="preserve">Module efficiency 
</t>
    </r>
    <r>
      <rPr>
        <b/>
        <sz val="10"/>
        <color rgb="FF000000"/>
        <rFont val="Calibri"/>
        <family val="2"/>
      </rPr>
      <t>(MJ</t>
    </r>
    <r>
      <rPr>
        <b/>
        <vertAlign val="subscript"/>
        <sz val="10"/>
        <color rgb="FF000000"/>
        <rFont val="Calibri"/>
        <family val="2"/>
      </rPr>
      <t>LHV</t>
    </r>
    <r>
      <rPr>
        <b/>
        <sz val="10"/>
        <color rgb="FF000000"/>
        <rFont val="Calibri"/>
        <family val="2"/>
      </rPr>
      <t xml:space="preserve"> main output/MJ</t>
    </r>
    <r>
      <rPr>
        <b/>
        <vertAlign val="subscript"/>
        <sz val="10"/>
        <color rgb="FF000000"/>
        <rFont val="Calibri"/>
        <family val="2"/>
      </rPr>
      <t>LHV</t>
    </r>
    <r>
      <rPr>
        <b/>
        <sz val="10"/>
        <color rgb="FF000000"/>
        <rFont val="Calibri"/>
        <family val="2"/>
      </rPr>
      <t xml:space="preserve"> main input)</t>
    </r>
  </si>
  <si>
    <r>
      <t xml:space="preserve">Cumulative backward chain efficiency 
</t>
    </r>
    <r>
      <rPr>
        <b/>
        <sz val="10"/>
        <color rgb="FF000000"/>
        <rFont val="Calibri"/>
        <family val="2"/>
      </rPr>
      <t>(MJ</t>
    </r>
    <r>
      <rPr>
        <b/>
        <vertAlign val="subscript"/>
        <sz val="10"/>
        <color rgb="FF000000"/>
        <rFont val="Calibri"/>
        <family val="2"/>
      </rPr>
      <t>LHV</t>
    </r>
    <r>
      <rPr>
        <b/>
        <sz val="10"/>
        <color rgb="FF000000"/>
        <rFont val="Calibri"/>
        <family val="2"/>
      </rPr>
      <t xml:space="preserve"> module main output/MJ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</si>
  <si>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 xml:space="preserve">GHG emissions from module, WITHOUT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module main output)</t>
    </r>
  </si>
  <si>
    <r>
      <t xml:space="preserve">GHG emissions from module, WITHOUT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</si>
  <si>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t>Allocation of GHG emissions to main output of each module</t>
  </si>
  <si>
    <t>Cumulative backward chain allocation of GHG emissions</t>
  </si>
  <si>
    <r>
      <t xml:space="preserve">Projected GHG emissions from module, WITH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</si>
  <si>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Default GHG emissions from module</t>
    </r>
    <r>
      <rPr>
        <b/>
        <sz val="10"/>
        <color rgb="FF000000"/>
        <rFont val="Calibri"/>
        <family val="2"/>
      </rPr>
      <t xml:space="preserve"> 
(gCO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</si>
  <si>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 xml:space="preserve">Selected GHG emissions from module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</si>
  <si>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t>Process emissions</t>
  </si>
  <si>
    <t>Must be projected</t>
  </si>
  <si>
    <t>CCS process and infrastructure</t>
  </si>
  <si>
    <r>
      <t>CO</t>
    </r>
    <r>
      <rPr>
        <vertAlign val="subscript"/>
        <sz val="11"/>
        <color theme="10"/>
        <rFont val="Calibri"/>
        <family val="2"/>
      </rPr>
      <t>2</t>
    </r>
    <r>
      <rPr>
        <sz val="11"/>
        <color theme="10"/>
        <rFont val="Calibri"/>
        <family val="2"/>
      </rPr>
      <t xml:space="preserve"> sequestration</t>
    </r>
  </si>
  <si>
    <r>
      <t>Fugitive non-CO</t>
    </r>
    <r>
      <rPr>
        <vertAlign val="subscript"/>
        <sz val="11"/>
        <color theme="10"/>
        <rFont val="Calibri"/>
        <family val="2"/>
      </rPr>
      <t>2</t>
    </r>
    <r>
      <rPr>
        <sz val="11"/>
        <color theme="10"/>
        <rFont val="Calibri"/>
        <family val="2"/>
      </rPr>
      <t xml:space="preserve"> emissions</t>
    </r>
  </si>
  <si>
    <r>
      <t>Theoretical H</t>
    </r>
    <r>
      <rPr>
        <vertAlign val="subscript"/>
        <sz val="11"/>
        <color theme="10"/>
        <rFont val="Calibri"/>
        <family val="2"/>
      </rPr>
      <t>2</t>
    </r>
    <r>
      <rPr>
        <sz val="11"/>
        <color theme="10"/>
        <rFont val="Calibri"/>
        <family val="2"/>
      </rPr>
      <t xml:space="preserve"> Compression</t>
    </r>
  </si>
  <si>
    <t>Compression and purification</t>
  </si>
  <si>
    <t>Set formula if &lt;3 MPa</t>
  </si>
  <si>
    <r>
      <t>Theoretical H</t>
    </r>
    <r>
      <rPr>
        <vertAlign val="subscript"/>
        <sz val="11"/>
        <color theme="10"/>
        <rFont val="Calibri"/>
        <family val="2"/>
      </rPr>
      <t>2</t>
    </r>
    <r>
      <rPr>
        <sz val="11"/>
        <color theme="10"/>
        <rFont val="Calibri"/>
        <family val="2"/>
      </rPr>
      <t xml:space="preserve"> Purification</t>
    </r>
  </si>
  <si>
    <t>Set formula if &lt;99.9% by vol</t>
  </si>
  <si>
    <t>Total chain</t>
  </si>
  <si>
    <t>Standard threshold</t>
  </si>
  <si>
    <t>Nuclear electricity consignment of Electrolysis</t>
  </si>
  <si>
    <t>NB: the central, best and worst case values are specific to a certain electricity mix (in this case, 100% nuclear electricity), so values in these columns may not be appropriate for comparison with your pathway.</t>
  </si>
  <si>
    <t>Grid electricity consignment of Electrolysis</t>
  </si>
  <si>
    <t>NB: the central, best and worst case values are specific to a certain electricity mix (in this case, 100% grid electricity), so values in these columns may not be appropriate for comparison with your pathway.</t>
  </si>
  <si>
    <t>Other electricity consignment of Electrolysis</t>
  </si>
  <si>
    <t>NG Feedstock Collection</t>
  </si>
  <si>
    <t>Feedstock supply</t>
  </si>
  <si>
    <t>NG Feedstock Transport</t>
  </si>
  <si>
    <t>Must be projected if purpose-grown feedstock</t>
  </si>
  <si>
    <t>Biogas + Biomethane Upgrading</t>
  </si>
  <si>
    <t>Biomethane Reforming (+CCS)</t>
  </si>
  <si>
    <r>
      <t>NB: the central, best and worst case values are specific to certain feedstocks (food waste, food waste with biomethane CO</t>
    </r>
    <r>
      <rPr>
        <vertAlign val="subscript"/>
        <sz val="11"/>
        <color rgb="FF000000"/>
        <rFont val="Calibri"/>
        <family val="2"/>
      </rPr>
      <t>2</t>
    </r>
    <r>
      <rPr>
        <sz val="11"/>
        <color rgb="FF000000"/>
        <rFont val="Calibri"/>
        <family val="2"/>
      </rPr>
      <t xml:space="preserve"> capture, and whole maize crop respectively), so values in these columns may not be appropriate for comparison with your pathway.</t>
    </r>
  </si>
  <si>
    <t>Biomass Gasification (+CCS)</t>
  </si>
  <si>
    <t>NB: the central, best and worst case values from the LCA tool are specific to certain feedstocks (in this case forestry residues), so values in these columns may not be appropriate for comparison with your pathway.</t>
  </si>
  <si>
    <t>Waste Gasification (+CCS) (bio)</t>
  </si>
  <si>
    <t>NB: the central, best and worst case values are specific to certain feedstocks (in this case, municipal waste with 49% biogenic and 51% fossil fractions), so values in these columns may not be appropriate for comparison with your pathway.</t>
  </si>
  <si>
    <t>Projected data or default data?</t>
  </si>
  <si>
    <t>Waste Gasification (+CCS) (fossil)</t>
  </si>
  <si>
    <t>Supply chain module</t>
  </si>
  <si>
    <t>Sub-component level</t>
  </si>
  <si>
    <r>
      <t>Module efficiency (MJ</t>
    </r>
    <r>
      <rPr>
        <b/>
        <vertAlign val="subscript"/>
        <sz val="11"/>
        <color rgb="FF000000"/>
        <rFont val="Calibri"/>
        <family val="2"/>
      </rPr>
      <t>LHV</t>
    </r>
    <r>
      <rPr>
        <b/>
        <sz val="11"/>
        <color rgb="FF000000"/>
        <rFont val="Calibri"/>
        <family val="2"/>
      </rPr>
      <t xml:space="preserve"> main output/MJ</t>
    </r>
    <r>
      <rPr>
        <b/>
        <vertAlign val="subscript"/>
        <sz val="11"/>
        <color rgb="FF000000"/>
        <rFont val="Calibri"/>
        <family val="2"/>
      </rPr>
      <t>LHV</t>
    </r>
    <r>
      <rPr>
        <b/>
        <sz val="11"/>
        <color rgb="FF000000"/>
        <rFont val="Calibri"/>
        <family val="2"/>
      </rPr>
      <t xml:space="preserve"> main input)</t>
    </r>
  </si>
  <si>
    <r>
      <t>Cumulative backward chain efficiency (MJ</t>
    </r>
    <r>
      <rPr>
        <b/>
        <vertAlign val="subscript"/>
        <sz val="11"/>
        <color rgb="FF000000"/>
        <rFont val="Calibri"/>
        <family val="2"/>
      </rPr>
      <t>LHV</t>
    </r>
    <r>
      <rPr>
        <b/>
        <sz val="11"/>
        <color rgb="FF000000"/>
        <rFont val="Calibri"/>
        <family val="2"/>
      </rPr>
      <t xml:space="preserve"> module main output/MJ</t>
    </r>
    <r>
      <rPr>
        <b/>
        <vertAlign val="subscript"/>
        <sz val="11"/>
        <color rgb="FF000000"/>
        <rFont val="Calibri"/>
        <family val="2"/>
      </rPr>
      <t>LHV</t>
    </r>
    <r>
      <rPr>
        <b/>
        <sz val="11"/>
        <color rgb="FF000000"/>
        <rFont val="Calibri"/>
        <family val="2"/>
      </rPr>
      <t xml:space="preserve"> standard H2)</t>
    </r>
  </si>
  <si>
    <r>
      <t>GHG emissions from module (gCO2e/MJ</t>
    </r>
    <r>
      <rPr>
        <b/>
        <vertAlign val="subscript"/>
        <sz val="11"/>
        <color rgb="FF000000"/>
        <rFont val="Calibri"/>
        <family val="2"/>
      </rPr>
      <t>LHV</t>
    </r>
    <r>
      <rPr>
        <b/>
        <sz val="11"/>
        <color rgb="FF000000"/>
        <rFont val="Calibri"/>
        <family val="2"/>
      </rPr>
      <t xml:space="preserve"> module main output), WITHOUT allocation</t>
    </r>
  </si>
  <si>
    <r>
      <t>GHG emissions from module (gCO2e/MJ</t>
    </r>
    <r>
      <rPr>
        <b/>
        <vertAlign val="subscript"/>
        <sz val="11"/>
        <color rgb="FF000000"/>
        <rFont val="Calibri"/>
        <family val="2"/>
      </rPr>
      <t>LHV</t>
    </r>
    <r>
      <rPr>
        <b/>
        <sz val="11"/>
        <color rgb="FF000000"/>
        <rFont val="Calibri"/>
        <family val="2"/>
      </rPr>
      <t xml:space="preserve"> standard H2), WITHOUT allocation</t>
    </r>
  </si>
  <si>
    <r>
      <t>Projected GHG emissions from module (gCO2e/MJ</t>
    </r>
    <r>
      <rPr>
        <b/>
        <vertAlign val="subscript"/>
        <sz val="11"/>
        <color rgb="FF000000"/>
        <rFont val="Calibri"/>
        <family val="2"/>
      </rPr>
      <t>LHV</t>
    </r>
    <r>
      <rPr>
        <b/>
        <sz val="11"/>
        <color rgb="FF000000"/>
        <rFont val="Calibri"/>
        <family val="2"/>
      </rPr>
      <t xml:space="preserve"> standard H2), WITH allocation</t>
    </r>
  </si>
  <si>
    <r>
      <t>Default GHG emissions from module (gCO2e/MJ</t>
    </r>
    <r>
      <rPr>
        <b/>
        <vertAlign val="subscript"/>
        <sz val="11"/>
        <color rgb="FF000000"/>
        <rFont val="Calibri"/>
        <family val="2"/>
      </rPr>
      <t>LHV</t>
    </r>
    <r>
      <rPr>
        <b/>
        <sz val="11"/>
        <color rgb="FF000000"/>
        <rFont val="Calibri"/>
        <family val="2"/>
      </rPr>
      <t xml:space="preserve"> standard H2)</t>
    </r>
  </si>
  <si>
    <r>
      <t>Selected GHG emissions from module (gCO2e/MJ</t>
    </r>
    <r>
      <rPr>
        <b/>
        <vertAlign val="subscript"/>
        <sz val="11"/>
        <color rgb="FF000000"/>
        <rFont val="Calibri"/>
        <family val="2"/>
      </rPr>
      <t>LHV</t>
    </r>
    <r>
      <rPr>
        <b/>
        <sz val="11"/>
        <color rgb="FF000000"/>
        <rFont val="Calibri"/>
        <family val="2"/>
      </rPr>
      <t xml:space="preserve"> standard H2)</t>
    </r>
  </si>
  <si>
    <t>Feedstock Cultivation</t>
  </si>
  <si>
    <t>Feedstock Harvesting</t>
  </si>
  <si>
    <t>Feedstock Collection</t>
  </si>
  <si>
    <t>Feedstock Transport</t>
  </si>
  <si>
    <t>Pre-Processing</t>
  </si>
  <si>
    <t>Further Transport</t>
  </si>
  <si>
    <t>Conversion</t>
  </si>
  <si>
    <t>Type of flow</t>
  </si>
  <si>
    <t>Description of flow</t>
  </si>
  <si>
    <t>Source / evidence (e.g. production reports, contracts, delivery notes, lab testing, model)</t>
  </si>
  <si>
    <t>Flow in from/out to:</t>
  </si>
  <si>
    <t>Does flow cross the GHG assessment boundary?</t>
  </si>
  <si>
    <t>Lower heating value [LHV] (MJ/kg)</t>
  </si>
  <si>
    <t>Reference for LHV</t>
  </si>
  <si>
    <t>Equivalent energy flow (MWh/yr LHV)</t>
  </si>
  <si>
    <t>Reference for GHG intensity</t>
  </si>
  <si>
    <t>Comments &amp; questions</t>
  </si>
  <si>
    <t>Module main input and (co)products</t>
  </si>
  <si>
    <t>Main feedstock</t>
  </si>
  <si>
    <t>None - please fill in electricity and water usage in sections below</t>
  </si>
  <si>
    <t>Main output</t>
  </si>
  <si>
    <t>tonnes/yr</t>
  </si>
  <si>
    <t>Co-products</t>
  </si>
  <si>
    <t>e.g. Exported steam</t>
  </si>
  <si>
    <t>e.g. Oxygen</t>
  </si>
  <si>
    <t>Wastes</t>
  </si>
  <si>
    <t>e.g. Wastewater</t>
  </si>
  <si>
    <t>e.g. Spent catalysts</t>
  </si>
  <si>
    <t>Residues</t>
  </si>
  <si>
    <t>e.g. Sulphur</t>
  </si>
  <si>
    <t>e.g. Ash</t>
  </si>
  <si>
    <t>Energy</t>
  </si>
  <si>
    <t>gCO2e/MJ nuclear H2</t>
  </si>
  <si>
    <t>gCO2e/MJ grid H2</t>
  </si>
  <si>
    <t>gCO2e/MJ other H2</t>
  </si>
  <si>
    <t>gCO2e/MJ all H2</t>
  </si>
  <si>
    <t>e.g. Imported steam (not generated onsite)</t>
  </si>
  <si>
    <t>e.g. Imported heat (not generated onsite)</t>
  </si>
  <si>
    <t>Fuels</t>
  </si>
  <si>
    <t>e.g. Diesel</t>
  </si>
  <si>
    <t>e.g. Heating oil</t>
  </si>
  <si>
    <t>e.g. Coal</t>
  </si>
  <si>
    <t>Water</t>
  </si>
  <si>
    <t>e.g. Mains water (gross input)</t>
  </si>
  <si>
    <t>Chemicals</t>
  </si>
  <si>
    <t>e.g. Acid</t>
  </si>
  <si>
    <t>e.g. Alkali solution</t>
  </si>
  <si>
    <t>Catalysts</t>
  </si>
  <si>
    <t>e.g. Catalyst</t>
  </si>
  <si>
    <t>Process emissions generated in hydrogen production</t>
  </si>
  <si>
    <t>CO2 generated</t>
  </si>
  <si>
    <r>
      <t>CCS process and infrastructure (includes CO</t>
    </r>
    <r>
      <rPr>
        <b/>
        <vertAlign val="subscript"/>
        <sz val="11"/>
        <color rgb="FF000098"/>
        <rFont val="Calibri"/>
        <family val="2"/>
      </rPr>
      <t>2</t>
    </r>
    <r>
      <rPr>
        <b/>
        <sz val="11"/>
        <color rgb="FF000098"/>
        <rFont val="Calibri"/>
        <family val="2"/>
      </rPr>
      <t xml:space="preserve"> transport)</t>
    </r>
  </si>
  <si>
    <t>e.g. Electricity for CO2 capture</t>
  </si>
  <si>
    <t>e.g. Electricity for CO2 transport</t>
  </si>
  <si>
    <t>e.g. Marine fuel oil for CO2 transport</t>
  </si>
  <si>
    <t>e.g. Electricity for CO2 injection</t>
  </si>
  <si>
    <r>
      <t>CO</t>
    </r>
    <r>
      <rPr>
        <b/>
        <vertAlign val="subscript"/>
        <sz val="11"/>
        <color rgb="FF000098"/>
        <rFont val="Calibri"/>
        <family val="2"/>
      </rPr>
      <t>2</t>
    </r>
    <r>
      <rPr>
        <b/>
        <sz val="11"/>
        <color rgb="FF000098"/>
        <rFont val="Calibri"/>
        <family val="2"/>
      </rPr>
      <t xml:space="preserve"> sequestration</t>
    </r>
  </si>
  <si>
    <t>CH4 emissions</t>
  </si>
  <si>
    <t>N2O emissions</t>
  </si>
  <si>
    <t>SF6 emissions</t>
  </si>
  <si>
    <t>HFC emissions</t>
  </si>
  <si>
    <t>User to input</t>
  </si>
  <si>
    <t>Module total (gCO2e/MJ nuclear H2)</t>
  </si>
  <si>
    <t>Module total (gCO2e/MJ grid H2)</t>
  </si>
  <si>
    <t>Module total (gCO2e/MJ other H2)</t>
  </si>
  <si>
    <t>Operating hours</t>
  </si>
  <si>
    <t>Full-load equivalents</t>
  </si>
  <si>
    <t>hr/yr</t>
  </si>
  <si>
    <t>Electricity mix</t>
  </si>
  <si>
    <t>Other electricity</t>
  </si>
  <si>
    <t>Go to the next step of this pathway</t>
  </si>
  <si>
    <t>Inputs</t>
  </si>
  <si>
    <t>e.g. Electricity for compression</t>
  </si>
  <si>
    <t>e.g. Steam</t>
  </si>
  <si>
    <t>e.g. Chemicals</t>
  </si>
  <si>
    <t xml:space="preserve">Catalysts </t>
  </si>
  <si>
    <t>Outputs</t>
  </si>
  <si>
    <t>Module main output</t>
  </si>
  <si>
    <t>e.g. Natural gas</t>
  </si>
  <si>
    <t>Fugitive non-CO2 emissions</t>
  </si>
  <si>
    <t>Module total</t>
  </si>
  <si>
    <t>Capture rate</t>
  </si>
  <si>
    <t>e.g. CCS capture rate</t>
  </si>
  <si>
    <t>Module main feedstock</t>
  </si>
  <si>
    <t>Hydrogen</t>
  </si>
  <si>
    <t>e.g. Electricity</t>
  </si>
  <si>
    <t>e.g. Electricity for compression of natural gas</t>
  </si>
  <si>
    <t>e.g. Electricity for reforming</t>
  </si>
  <si>
    <t>e.g. Electricity for compression of hydrogen</t>
  </si>
  <si>
    <t>e.g. Mains water</t>
  </si>
  <si>
    <t>IPCC Fifth Assessment Report (AR5), GWP100 without carbon feedbacks</t>
  </si>
  <si>
    <t>CCS capture rate</t>
  </si>
  <si>
    <t>Full-load equivalent hours</t>
  </si>
  <si>
    <t>CO2 losses in T&amp;S</t>
  </si>
  <si>
    <t>CO2 lost during transmission and storage</t>
  </si>
  <si>
    <t>e.g. Nitrogen fertilizer</t>
  </si>
  <si>
    <t>Materials</t>
  </si>
  <si>
    <t>e.g. Seeds</t>
  </si>
  <si>
    <t>e.g. Maize</t>
  </si>
  <si>
    <t>e.g. Emissions to air (methane emissions from diesel)</t>
  </si>
  <si>
    <t>Direct land use change</t>
  </si>
  <si>
    <t>dLUC</t>
  </si>
  <si>
    <t>Crop yield</t>
  </si>
  <si>
    <t>tonnes/hectare/yr</t>
  </si>
  <si>
    <t>Direct Land Use Change emissions</t>
  </si>
  <si>
    <t>tCO2e/hectare/yr</t>
  </si>
  <si>
    <t>e.g. Food waste, manure, sewage sludge, maize</t>
  </si>
  <si>
    <t>e.g. Heat for biogas production</t>
  </si>
  <si>
    <t>e.g. Electricity for biogas production</t>
  </si>
  <si>
    <t>e.g. Electricity for biogas upgrading</t>
  </si>
  <si>
    <t>e.g. Biomethane</t>
  </si>
  <si>
    <t>e.g. Digestate</t>
  </si>
  <si>
    <t>CO2 content</t>
  </si>
  <si>
    <t>e.g. Biogas CO2 content</t>
  </si>
  <si>
    <t>e.g. Electricity for compression of biomethane</t>
  </si>
  <si>
    <t>e.g. Electricity for ATR/SMR</t>
  </si>
  <si>
    <t xml:space="preserve">e.g. Water </t>
  </si>
  <si>
    <t>e.g. Perennial energy crops</t>
  </si>
  <si>
    <t>e.g. Forestry residues</t>
  </si>
  <si>
    <t>e.g. Electricity for pre-processing</t>
  </si>
  <si>
    <t>e.g. Water</t>
  </si>
  <si>
    <t>e.g. Electricity for gasifier</t>
  </si>
  <si>
    <t>e.g. Chemicals for gasification</t>
  </si>
  <si>
    <t>e.g. Residual waste</t>
  </si>
  <si>
    <t>e.g. Processed waste</t>
  </si>
  <si>
    <t>Hydrogen (biogenic+fossil consignments)</t>
  </si>
  <si>
    <t>gCO2e/MJ fossil H2</t>
  </si>
  <si>
    <t>Module total (gCO2e/MJ biogenic H2)</t>
  </si>
  <si>
    <t>Module total (gCO2e/MJ fossil H2)</t>
  </si>
  <si>
    <t>Feedstock composition</t>
  </si>
  <si>
    <t>e.g. change in soil carbon stocks</t>
  </si>
  <si>
    <t>e.g. Feedstock</t>
  </si>
  <si>
    <t>e.g. Processed feedstock</t>
  </si>
  <si>
    <t>e.g. Electricity for conversion process</t>
  </si>
  <si>
    <t>e.g. Chemicals for conversion process</t>
  </si>
  <si>
    <t>1.4x multiplier applied</t>
  </si>
  <si>
    <t>POX+CCS not analysed in 2021 study / LCA tool. Projected data must be used</t>
  </si>
  <si>
    <r>
      <t>kgCO</t>
    </r>
    <r>
      <rPr>
        <vertAlign val="subscript"/>
        <sz val="11"/>
        <color rgb="FF000000"/>
        <rFont val="Calibri"/>
        <family val="2"/>
      </rPr>
      <t>2</t>
    </r>
    <r>
      <rPr>
        <sz val="11"/>
        <color rgb="FF000000"/>
        <rFont val="Calibri"/>
        <family val="2"/>
      </rPr>
      <t>e/kWhe</t>
    </r>
  </si>
  <si>
    <r>
      <t>gCO</t>
    </r>
    <r>
      <rPr>
        <b/>
        <vertAlign val="subscript"/>
        <sz val="11"/>
        <color rgb="FF000000"/>
        <rFont val="Calibri"/>
        <family val="2"/>
      </rPr>
      <t>2</t>
    </r>
    <r>
      <rPr>
        <b/>
        <sz val="11"/>
        <color rgb="FF000000"/>
        <rFont val="Calibri"/>
        <family val="2"/>
      </rPr>
      <t>e/MJ H</t>
    </r>
    <r>
      <rPr>
        <b/>
        <vertAlign val="subscript"/>
        <sz val="11"/>
        <color rgb="FF000000"/>
        <rFont val="Calibri"/>
        <family val="2"/>
      </rPr>
      <t>2</t>
    </r>
    <r>
      <rPr>
        <b/>
        <sz val="11"/>
        <color rgb="FF000000"/>
        <rFont val="Calibri"/>
        <family val="2"/>
      </rPr>
      <t xml:space="preserve"> (LHV)</t>
    </r>
  </si>
  <si>
    <t>https://assets.publishing.service.gov.uk/government/uploads/system/uploads/attachment_data/file/1067392/low-carbon-hydrogen-standard-guidance.pdf</t>
  </si>
  <si>
    <t>https://assets.publishing.service.gov.uk/government/uploads/system/uploads/attachment_data/file/1067393/low-carbon-hydrogen-standard-guidance-annexes.pdf</t>
  </si>
  <si>
    <t>The following links can provide useful data sources that may be relevant to the UK Low Carbon Hydrogen Standard</t>
  </si>
  <si>
    <t>The calculation for land-use change emissions is detailed in Annex C, Chapter 5.1 (page 31) of the Low Carbon Hydrogen Standard guidance Annexes, with the following equation used (with further sub-equations for the individual terms):</t>
  </si>
  <si>
    <t>The total GHG emissions calculated for the production pathway will be displayed in the pathway summary GHG worksheet which can be accessed via the link given at the top of the processing worksheet (the last step of the pathway, from which hydrogen is produced).</t>
  </si>
  <si>
    <t>Please list all consignments, check you have answered all relevant questions and check your results</t>
  </si>
  <si>
    <t>Dashboard worksheet</t>
  </si>
  <si>
    <t>Once the user has navigated to the first step of their pathway, they will need provide data on the inputs and outputs to their process. It is important to provide as much detail as possible and include references to sources of information. Note that if the user has selected to use default data for some of the steps or processing emission categories in their pathway, the corresponding worksheets or rows will not need to be completed and will be blanked out with a message.</t>
  </si>
  <si>
    <t>The Summary worksheet with results for the fossil ATR with CCS pathway is shown below as an example. Note the projected data is based on illustrative numbers entered in red text in the pathway module worksheets, which the user will be deleting/overwriting.</t>
  </si>
  <si>
    <t>Distance</t>
  </si>
  <si>
    <t>One-way</t>
  </si>
  <si>
    <t>The user should first navigate to the Initial_questions worksheet to provide detailed information on the hydrogen production pathway. Certain questions include drop down menus and a response should be selected from the list of choices given. Other worksheets may not function properly if the Initial_questions worksheet is not fully completed.</t>
  </si>
  <si>
    <t>Processing worksheet</t>
  </si>
  <si>
    <t>This sheet provides guidance on how to use the processing worksheet (final step of the supply chain that produces hydrogen)</t>
  </si>
  <si>
    <t>General instructions, Questions &amp; Pathway summary</t>
  </si>
  <si>
    <r>
      <t xml:space="preserve">The UK Low Carbon Hydrogen Standard requires that hydrogen GHG emissions are calculated at a minimum </t>
    </r>
    <r>
      <rPr>
        <b/>
        <sz val="11"/>
        <color rgb="FF000000"/>
        <rFont val="Calibri"/>
        <family val="2"/>
      </rPr>
      <t xml:space="preserve">3 MPa </t>
    </r>
    <r>
      <rPr>
        <sz val="11"/>
        <color rgb="FF000000"/>
        <rFont val="Calibri"/>
        <family val="2"/>
      </rPr>
      <t>pressure and</t>
    </r>
    <r>
      <rPr>
        <b/>
        <sz val="11"/>
        <color rgb="FF000000"/>
        <rFont val="Calibri"/>
        <family val="2"/>
      </rPr>
      <t xml:space="preserve"> 99.9% by volume </t>
    </r>
    <r>
      <rPr>
        <sz val="11"/>
        <color rgb="FF000000"/>
        <rFont val="Calibri"/>
        <family val="2"/>
      </rPr>
      <t xml:space="preserve">purity. If a pathway produces hydrogen at a lower pressure and purity, there are theoretical compression and purification GHG emissions included in the calculator to allow for these pathways to produce hydrogen that meets the requirements of the Standard. It is therefore important to provide data on the output pressure and purity of the hydrogen produced by a certain pathway. </t>
    </r>
    <r>
      <rPr>
        <b/>
        <sz val="11"/>
        <color rgb="FF000000"/>
        <rFont val="Calibri"/>
        <family val="2"/>
      </rPr>
      <t>Example pathway 3: Fossil ATR with CCS.</t>
    </r>
  </si>
  <si>
    <r>
      <t>The emissions from CCS are split into three categories: Process emissions generated in hydrogen production, CCS process and infrastructure emissions, and CO</t>
    </r>
    <r>
      <rPr>
        <vertAlign val="subscript"/>
        <sz val="11"/>
        <color rgb="FF000000"/>
        <rFont val="Calibri"/>
        <family val="2"/>
      </rPr>
      <t>2</t>
    </r>
    <r>
      <rPr>
        <sz val="11"/>
        <color rgb="FF000000"/>
        <rFont val="Calibri"/>
        <family val="2"/>
      </rPr>
      <t xml:space="preserve"> sequestration.</t>
    </r>
  </si>
  <si>
    <t>These do not include natural gas used for furnace heating - all natural gas emissions (from reformer and furnace), have to be included in the process emissions, and then CO2 capture reduces these emissions to atmosphere</t>
  </si>
  <si>
    <t>Output Summary GHG emission worksheets showing module efficiencies, emissions, allocation between products/co-products, and pathway total GHG emissions</t>
  </si>
  <si>
    <t>Sugar crops</t>
  </si>
  <si>
    <r>
      <t>Nuclear electricity GHG intensity (kgCO</t>
    </r>
    <r>
      <rPr>
        <b/>
        <vertAlign val="subscript"/>
        <sz val="11"/>
        <color rgb="FF000000"/>
        <rFont val="Calibri"/>
        <family val="2"/>
      </rPr>
      <t>2e</t>
    </r>
    <r>
      <rPr>
        <b/>
        <sz val="11"/>
        <color rgb="FF000000"/>
        <rFont val="Calibri"/>
        <family val="2"/>
      </rPr>
      <t>/kWhe)</t>
    </r>
  </si>
  <si>
    <r>
      <t>Nuclear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</si>
  <si>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Wind/solar PV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</si>
  <si>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Wind/solar PV electrolysis PEM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</si>
  <si>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Wind/solar PV electrolysis PEM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</si>
  <si>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Nuclear PEM electrolysis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</si>
  <si>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Nuclear PEM electrolysis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</si>
  <si>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Grid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</si>
  <si>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Grid PEM electrolysis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</si>
  <si>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Grid PEM electrolysis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</si>
  <si>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Included within Energy Supply</t>
  </si>
  <si>
    <r>
      <t>Forestry residue gasification+CCS,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</si>
  <si>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Forestry residue gasification+CCS,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</si>
  <si>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Forestry residue gasification+CCS,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</si>
  <si>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Food waste biomethane+CCS to ATR+CCS,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</si>
  <si>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Food waste biomethane to ATR+CCS,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</si>
  <si>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Maize biomethane to ATR+CCS,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</si>
  <si>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Biogenic fraction of MSW gasification+CCS,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</si>
  <si>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Biogenic fraction of MSW gasification+CCS,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</si>
  <si>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Biogenic fraction of MSW gasification+CCS,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</si>
  <si>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Fossil fraction of MSW gasification+CCS,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</si>
  <si>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Fossil fraction of MSW gasification+CCS,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</si>
  <si>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Fossil fraction of MSW gasification+CCS,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</si>
  <si>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kWhe/kg</t>
  </si>
  <si>
    <t>Outlet pressure of compressor</t>
  </si>
  <si>
    <t>Inlet pressure to compressor</t>
  </si>
  <si>
    <t>Inlet temperature (To) to compressor</t>
  </si>
  <si>
    <t>MWh/yr (LHV)</t>
  </si>
  <si>
    <r>
      <t>Module efficiency (MJ</t>
    </r>
    <r>
      <rPr>
        <b/>
        <vertAlign val="subscript"/>
        <sz val="11"/>
        <color rgb="FF000098"/>
        <rFont val="Calibri"/>
        <family val="2"/>
      </rPr>
      <t>LHV</t>
    </r>
    <r>
      <rPr>
        <b/>
        <sz val="11"/>
        <color rgb="FF000098"/>
        <rFont val="Calibri"/>
        <family val="2"/>
      </rPr>
      <t xml:space="preserve"> module main output/MJ</t>
    </r>
    <r>
      <rPr>
        <b/>
        <vertAlign val="subscript"/>
        <sz val="11"/>
        <color rgb="FF000098"/>
        <rFont val="Calibri"/>
        <family val="2"/>
      </rPr>
      <t>LHV</t>
    </r>
    <r>
      <rPr>
        <b/>
        <sz val="11"/>
        <color rgb="FF000098"/>
        <rFont val="Calibri"/>
        <family val="2"/>
      </rPr>
      <t xml:space="preserve"> electricity and heat inputs)</t>
    </r>
  </si>
  <si>
    <r>
      <t>Energy allocation (MJ</t>
    </r>
    <r>
      <rPr>
        <b/>
        <vertAlign val="subscript"/>
        <sz val="11"/>
        <color rgb="FF000098"/>
        <rFont val="Calibri"/>
        <family val="2"/>
      </rPr>
      <t>LHV</t>
    </r>
    <r>
      <rPr>
        <b/>
        <sz val="11"/>
        <color rgb="FF000098"/>
        <rFont val="Calibri"/>
        <family val="2"/>
      </rPr>
      <t>/MJ</t>
    </r>
    <r>
      <rPr>
        <b/>
        <vertAlign val="subscript"/>
        <sz val="11"/>
        <color rgb="FF000098"/>
        <rFont val="Calibri"/>
        <family val="2"/>
      </rPr>
      <t>LHV</t>
    </r>
    <r>
      <rPr>
        <b/>
        <sz val="11"/>
        <color rgb="FF000098"/>
        <rFont val="Calibri"/>
        <family val="2"/>
      </rPr>
      <t xml:space="preserve"> all products)</t>
    </r>
  </si>
  <si>
    <r>
      <t>GHG intensity 
(gCO</t>
    </r>
    <r>
      <rPr>
        <b/>
        <vertAlign val="subscript"/>
        <sz val="11"/>
        <color rgb="FF000098"/>
        <rFont val="Calibri"/>
        <family val="2"/>
      </rPr>
      <t>2</t>
    </r>
    <r>
      <rPr>
        <b/>
        <sz val="11"/>
        <color rgb="FF000098"/>
        <rFont val="Calibri"/>
        <family val="2"/>
      </rPr>
      <t>e/kg of material) - for flows with tonnes/yr units</t>
    </r>
  </si>
  <si>
    <r>
      <t>GHG emissions (gCO</t>
    </r>
    <r>
      <rPr>
        <b/>
        <vertAlign val="subscript"/>
        <sz val="11"/>
        <color rgb="FF000098"/>
        <rFont val="Calibri"/>
        <family val="2"/>
      </rPr>
      <t>2</t>
    </r>
    <r>
      <rPr>
        <b/>
        <sz val="11"/>
        <color rgb="FF000098"/>
        <rFont val="Calibri"/>
        <family val="2"/>
      </rPr>
      <t>e/MJ</t>
    </r>
    <r>
      <rPr>
        <b/>
        <vertAlign val="subscript"/>
        <sz val="11"/>
        <color rgb="FF000098"/>
        <rFont val="Calibri"/>
        <family val="2"/>
      </rPr>
      <t>LHV</t>
    </r>
    <r>
      <rPr>
        <b/>
        <sz val="11"/>
        <color rgb="FF000098"/>
        <rFont val="Calibri"/>
        <family val="2"/>
      </rPr>
      <t xml:space="preserve"> module main output), WITHOUT allocation</t>
    </r>
  </si>
  <si>
    <t>Further flow details (eg. energy source, type, distance, temperature, pressure, purity, moisture content)</t>
  </si>
  <si>
    <t>Further flow details (e.g. energy source, type, distance, temperature, pressure, purity, moisture content)</t>
  </si>
  <si>
    <t>Go to the summary GHG worksheet</t>
  </si>
  <si>
    <t>This calculator is used for calculating the GHG emissions associated with hydrogen production from a particular production pathway and determining likely compliance of that pathway with the Low Carbon Hydrogen Standard. It covers hydrogen production pathways within the current scope of the Low Carbon Hydrogen Standard. Note that this workbook is not to be used for reporting of actual GHG emissions once your project is operational.</t>
  </si>
  <si>
    <t>This value is per MJ of biogenic H2 produced</t>
  </si>
  <si>
    <t>This value is per MJ of fossil H2 produced</t>
  </si>
  <si>
    <t>dLUC (in tCO2e/yr)</t>
  </si>
  <si>
    <t>e.g. Captured and sequestered biogenic CO2</t>
  </si>
  <si>
    <t>% by vol</t>
  </si>
  <si>
    <t>Fossil content (LHV basis)</t>
  </si>
  <si>
    <t>Biogenic content (LHV basis)</t>
  </si>
  <si>
    <r>
      <t>Grid electricity GHG intensity (kgCO</t>
    </r>
    <r>
      <rPr>
        <b/>
        <vertAlign val="subscript"/>
        <sz val="11"/>
        <color rgb="FF000000"/>
        <rFont val="Calibri"/>
        <family val="2"/>
      </rPr>
      <t>2e</t>
    </r>
    <r>
      <rPr>
        <b/>
        <sz val="11"/>
        <color rgb="FF000000"/>
        <rFont val="Calibri"/>
        <family val="2"/>
      </rPr>
      <t>/kWhe)</t>
    </r>
  </si>
  <si>
    <t>GHG intensity of electricity consumed by UK industrial users</t>
  </si>
  <si>
    <t>Feedstock Supply for fossil natural gas - the weighted average GHG emissions intensity of gas consumed from the UK NTS have been updated with latest UK net supply, piped import and LNG imports data (BEIS Energy Trends April 2022), combined with emissions factors from OGA (May 2020)</t>
  </si>
  <si>
    <t>From BEIS Energy Trends 2022 and OGA 2020. No 1.4x multiplier applied. Feedstock Supply for fossil natural gas - the weighted average GHG emissions intensity of gas consumed from the UK NTS have been updated with latest UK net supply, piped import and LNG imports data (BEIS Energy Trends April 2022), combined with emissions factors from OGA (May 2020)</t>
  </si>
  <si>
    <t>Biogenic fraction MSW gasification+CCS</t>
  </si>
  <si>
    <t>Fossil fraction MSW gasification+CCS</t>
  </si>
  <si>
    <t>Food waste biomethane SMR+CCS</t>
  </si>
  <si>
    <t>Food waste biomethane ATR+CCS</t>
  </si>
  <si>
    <t>Foresty residue gasification+CCS</t>
  </si>
  <si>
    <t>Fossil natural gas SMR+CCS</t>
  </si>
  <si>
    <t>Fossil natural gas ATR+CCS</t>
  </si>
  <si>
    <t>Fossil natural gas POX+CCS</t>
  </si>
  <si>
    <t>Grid average electrolysis</t>
  </si>
  <si>
    <t>Total chain GHG emissions (for comparison purposes only, noting feedstock may differ/data may not be applicable to your pathway)</t>
  </si>
  <si>
    <t>UK weighted average fossil natural gas ATR+CCS, GHG emissions from LCA tool (central case) - for comparison only
(gCO2e/MJLHV standard H2)</t>
  </si>
  <si>
    <t>Norwegian piped fossil natural gas to ATR+CCS, GHG emissions from LCA tool (best case) - for comparison only
(gCO2e/MJLHV standard H2)</t>
  </si>
  <si>
    <t>Imported fossil LNG to ATR+CCS, GHG emissions from LCA tool (worst case) - for comparison only
(gCO2e/MJLHV standard H2)</t>
  </si>
  <si>
    <t>NB: the central, best and worst case values from the LCA tool are specific to certain feedstocks (UK weighted average supply, Norwegian piped gas and imported LNG respectively), so values in these columns may not be appropriate for comparison with your pathway.</t>
  </si>
  <si>
    <t>Please provide a schematic representation of your GHG assessment system boundary, for the chosen consignment(s)</t>
  </si>
  <si>
    <t>Multiple workbooks may be needed if there are multiple consignments used for the pathway, e.g. multiple biomethane feedstocks used in ATR with CCS, or multiple biomass feedstocks used in gasification with CCS. The GHG emissions results for other consignments that have been calculated in other workbooks should be listed in the table in the Dashboard worksheet.</t>
  </si>
  <si>
    <t>Complete each of the applicable pathway module worksheets, ensuring that all inputs and outputs for each pathway module are captured. In each worksheet, a set of example inputs and outputs are provided. This should not be considered an exhaustive list, and some of the examples may not apply to your pathway. Illustrative data in red text are provided, which should be deleted/replaced.
The input and output values should be reported in either tonnes/yr or MWh/yr. Please provide the assumed annual operating hours (full-load equivalents) at the bottom of every worksheet. 
If a worksheet is not required, include only the module main input and main output (with the same data for both), with no other inputs/outputs/losses, and this will keep the worksheet at 100% efficiency, 100% allocation factor, with no added GHG emissions.
If default data will be used for part of the pathway, only provide input and output values for the relevant worksheets and do not complete blank worksheets. Note in the processing step for each pathway, default data may be selected for some of the emissions categories (Energy Supply and/or Input Materials), therefore there may be blank blocks of rows in this final worksheet for the pathway which do not need to be completed.
One workbook should be completed with the annual average data used for electricity sources and/or CO2 capture. Multiple workbooks may be needed if there are multiple feedstocks being used that form different hydrogen consignments with different GHG emissions, e.g. animal manure and maize feedstocks for a biomethane SMR pathway, or forestry residue and straw feedstocks for a biomass gasification pathway.</t>
  </si>
  <si>
    <t>Multiple workbooks may be needed if there are multiple feedstocks being used that form different hydrogen consignments with different GHG emissions, e.g. animal manure and maize feedstocks for a biomethane SMR pathway, or forestry residue and straw feedstocks for a biomass gasification pathway. The GHG emissions results for other consignments that have been calculated in other workbooks should be listed in the table in the Dashboard worksheet.</t>
  </si>
  <si>
    <t>3. Please go to the System Boundary worksheet to provide a schematic representation of your system boundary and supply chain for the chosen consignment.</t>
  </si>
  <si>
    <t>1. Please click on the link below to take you to the System Boundary worksheet to provide a schematic representation of your system boundary and supply chain for the chosen consignment.</t>
  </si>
  <si>
    <t>Please provide a schematic representation of your system boundary and supply chain for the hydrogen consignment(s) analysed in this Workbook</t>
  </si>
  <si>
    <t>Example high-level supply chain given below for one consignment - please delete and provide your own (likely much more detailed) version(s). Flow rates can be included if you wish. Multiple diagrams can be provided for multiple consignments (e.g. different feedstock inputs)</t>
  </si>
  <si>
    <t>If applicable, are at least 50% of the biogenic hydrogen consignments derived from wastes or residues?</t>
  </si>
  <si>
    <t>Please list all your hydrogen consignments, specifying the feedstock/main energy source used for each</t>
  </si>
  <si>
    <t>Biogenic fraction consignment of Waste Gasification</t>
  </si>
  <si>
    <t>Fossil fraction consignment of Waste Gasification</t>
  </si>
  <si>
    <t>Default feedstocks</t>
  </si>
  <si>
    <t>Forestry residues</t>
  </si>
  <si>
    <t>Municipal Solid Waste</t>
  </si>
  <si>
    <t>Food waste biomethane</t>
  </si>
  <si>
    <t>Other crop/purpose grown feedstock</t>
  </si>
  <si>
    <t>Other biomass feedstock group</t>
  </si>
  <si>
    <t>From Initial questions tab</t>
  </si>
  <si>
    <t>From Assumptions tab</t>
  </si>
  <si>
    <t>Biogenic CO2 has nil GWP under LCHS</t>
  </si>
  <si>
    <t>Biogenic CO2 sequestered is given a credit of 1 tonne CO2e/tonne CO2 under LCHS</t>
  </si>
  <si>
    <t>e.g. Co-product 2</t>
  </si>
  <si>
    <t>e.g. Co-product 1</t>
  </si>
  <si>
    <t>e.g. Co-product 3</t>
  </si>
  <si>
    <t>e.g. Co-product 4</t>
  </si>
  <si>
    <t>e.g. Electricity for AD CO2 transport &amp; injection</t>
  </si>
  <si>
    <t>CO2 emitted</t>
  </si>
  <si>
    <t>e.g. Wastewater (gross output)</t>
  </si>
  <si>
    <t>If applicable, please reference and attach the documents evidencing the contractual details of the electricity input arrangement (e.g. Power Purchase Agreement details covering ownership of the associated generation and agreed electricity amounts purchased).</t>
  </si>
  <si>
    <t>CO2 sequestered</t>
  </si>
  <si>
    <t>e.g. Biogenic CO2 captured and sequestered</t>
  </si>
  <si>
    <r>
      <t>Process emissions generated in hydrogen production, prior to any CO</t>
    </r>
    <r>
      <rPr>
        <b/>
        <vertAlign val="subscript"/>
        <sz val="11"/>
        <color rgb="FF000098"/>
        <rFont val="Calibri"/>
        <family val="2"/>
      </rPr>
      <t>2</t>
    </r>
    <r>
      <rPr>
        <b/>
        <sz val="11"/>
        <color rgb="FF000098"/>
        <rFont val="Calibri"/>
        <family val="2"/>
      </rPr>
      <t xml:space="preserve"> capture</t>
    </r>
  </si>
  <si>
    <t>Fossil CO2 generated, prior to any CO2 capture, is given a penalty of 1 tonne CO2e/tonne CO2 under LCHS</t>
  </si>
  <si>
    <t>e.g. Fossil CO2 generated from use of inputs &amp; feedstock, prior to any CO2 capture</t>
  </si>
  <si>
    <t>e.g. Fossil CO2 captured and sequestered</t>
  </si>
  <si>
    <t>Fossil CO2 sequestered is given a credit of 1 tonne CO2e/tonne CO2 under LCHS, provided that the CO2 generated before captured is counted as an emission (row above)</t>
  </si>
  <si>
    <t>e.g. Fossil CO2 generated from use of inputs &amp; feedstock</t>
  </si>
  <si>
    <t>e.g. Captured and sequestered fossil CO2</t>
  </si>
  <si>
    <t>e.g. Fossil CO2 generated from use of inputs</t>
  </si>
  <si>
    <t>Fossil CO2 generated and emitted (no CO2 capture) is given a penalty of 1 tonne CO2e/tonne CO2 under LCHS</t>
  </si>
  <si>
    <t>e.g. CO2 emissions from soil neutralisation</t>
  </si>
  <si>
    <t>e.g. Methane emitted, net of any mitigation</t>
  </si>
  <si>
    <t>e.g. N2O emitted, net of any mitigation</t>
  </si>
  <si>
    <t>e.g. SF6 emitted, net of any mitigation</t>
  </si>
  <si>
    <t>e.g. HFC emitted, net of any mitigation</t>
  </si>
  <si>
    <t>Fossil CO2 sequestered is given a credit of 1 tonne CO2e/tonne CO2 under LCHS, provided that the CO2 generated before capture is counted as an emission</t>
  </si>
  <si>
    <t>Fossil CO2 sequestered is given a credit of 1 tonne CO2e/tonne CO2 under LCHS, provided that the CO2 generated before capture is counted as an emission in the Process Emissions category</t>
  </si>
  <si>
    <t>e.g. Forestry residue chips</t>
  </si>
  <si>
    <t>e.g. Forestry residue pellets</t>
  </si>
  <si>
    <t>e.g. Perennial energy crop chips</t>
  </si>
  <si>
    <t>e.g. Fossil CO2 captured and sequestered (cannot be larger than fossil CO2 generated)</t>
  </si>
  <si>
    <t>e.g. Biogenic CO2 captured and sequestered (cannot be larger than biogenic CO2 generated)</t>
  </si>
  <si>
    <t>e.g. Fossil CO2 emissions generated from combustion/conversion/use of natural gas, input materials and energy onsite</t>
  </si>
  <si>
    <t>e.g. Fossil CO2 emissions generated from combustion/conversion/use of diesel, natural gas, other energy and input materials onsite</t>
  </si>
  <si>
    <t>e.g. Biogenic CO2 emissions generated from combustion/conversion/use of biomethane onsite</t>
  </si>
  <si>
    <t>e.g. Fossil CO2 emissions generated from combustion/conversion/use of natural gas, diesel, other fossil energy and input materials onsite</t>
  </si>
  <si>
    <t>gCO2e/MJ biogenic H2</t>
  </si>
  <si>
    <t>e.g. Biogenic CO2 generated from use of biogenic inputs onsite (not feedstock or products)</t>
  </si>
  <si>
    <t>e.g. Fossil CO2 generated from use of fossil inputs onsite (not feedstock or products)</t>
  </si>
  <si>
    <t>e.g. Fossil CO2 captured and sequestered from fossil inputs only (not from feedstock or products)</t>
  </si>
  <si>
    <t>e.g. Biogenic CO2 captured and sequestered from biogenic inputs only (not from feedstock or products)</t>
  </si>
  <si>
    <t>Process emissions and sequestration (biogenic fraction of feedstock only)</t>
  </si>
  <si>
    <t>Process emissions and sequestration (fossil fraction of feedstock only)</t>
  </si>
  <si>
    <t>e.g. Biogenic CO2 generated from use of feedstock or products onsite (e.g. some MSW or RDF composted, or burnt to provide heat)</t>
  </si>
  <si>
    <t>e.g. Fossil CO2 generated from use of feedstock or products onsite  (e.g. some MSW or RDF burnt to provide heat)</t>
  </si>
  <si>
    <t>e.g. Biogenic CO2 captured and sequestered (from feedstock or products)</t>
  </si>
  <si>
    <t>e.g. Fossil CO2 captured and sequestered (from feedstock or products)</t>
  </si>
  <si>
    <t>e.g. Biogenic CO2 generated from use of feedstock or products onsite (e.g. some chip or pellets burnt onsite for heating)</t>
  </si>
  <si>
    <t>e.g. Fossil CO2 generated from use of inputs onsite (e.g. combustion of diesel)</t>
  </si>
  <si>
    <t>e.g. Biogenic CO2 emissions generated from combustion/conversion/use of biomass and other biogenic inputs onsite</t>
  </si>
  <si>
    <t>e.g. Biogenic CO2 generated from use of feedstock or products onsite (e.g. some maize, biogas or biomethane burnt onsite for heating)</t>
  </si>
  <si>
    <t>e.g. Fossil CO2 generated from use of inputs (e.g. some diesel burnt onsite)</t>
  </si>
  <si>
    <t>e.g. Biogenic CO2 generated from use of biomass feedstock or biogenic products onsite</t>
  </si>
  <si>
    <t>e.g. Fossil CO2 generated from use of fossil inputs onsite</t>
  </si>
  <si>
    <t>e.g. Biogenic CO2 generated from use of feedstock or products onsite (e.g. some RDF, syngas or hydrogen burnt onsite for heating)</t>
  </si>
  <si>
    <t>e.g. Fossil CO2 generated from use of feedstock or products onsite (e.g. some RDF, syngas or hydrogen burnt onsite for heating)</t>
  </si>
  <si>
    <r>
      <t>Process emissions (from feedstock biogenic fraction) generated in hydrogen production, prior to any CO</t>
    </r>
    <r>
      <rPr>
        <b/>
        <vertAlign val="subscript"/>
        <sz val="11"/>
        <color rgb="FF000098"/>
        <rFont val="Calibri"/>
        <family val="2"/>
      </rPr>
      <t>2</t>
    </r>
    <r>
      <rPr>
        <b/>
        <sz val="11"/>
        <color rgb="FF000098"/>
        <rFont val="Calibri"/>
        <family val="2"/>
      </rPr>
      <t xml:space="preserve"> capture</t>
    </r>
  </si>
  <si>
    <r>
      <t>Process emissions (from feedstock fossil fraction) generated in hydrogen production, prior to any CO</t>
    </r>
    <r>
      <rPr>
        <b/>
        <vertAlign val="subscript"/>
        <sz val="11"/>
        <color rgb="FF000098"/>
        <rFont val="Calibri"/>
        <family val="2"/>
      </rPr>
      <t>2</t>
    </r>
    <r>
      <rPr>
        <b/>
        <sz val="11"/>
        <color rgb="FF000098"/>
        <rFont val="Calibri"/>
        <family val="2"/>
      </rPr>
      <t xml:space="preserve"> capture</t>
    </r>
  </si>
  <si>
    <r>
      <t>Process emissions (from other inputs) generated in hydrogen production, prior to any CO</t>
    </r>
    <r>
      <rPr>
        <b/>
        <vertAlign val="subscript"/>
        <sz val="11"/>
        <color rgb="FF000098"/>
        <rFont val="Calibri"/>
        <family val="2"/>
      </rPr>
      <t>2</t>
    </r>
    <r>
      <rPr>
        <b/>
        <sz val="11"/>
        <color rgb="FF000098"/>
        <rFont val="Calibri"/>
        <family val="2"/>
      </rPr>
      <t xml:space="preserve"> capture</t>
    </r>
  </si>
  <si>
    <t>e.g. Biogenic CO2 emissions generated from combustion/conversion/use of biomethane, biodiesel, other biogenic energy and input materials onsite</t>
  </si>
  <si>
    <r>
      <t>CO</t>
    </r>
    <r>
      <rPr>
        <b/>
        <vertAlign val="subscript"/>
        <sz val="11"/>
        <color rgb="FF000098"/>
        <rFont val="Calibri"/>
        <family val="2"/>
      </rPr>
      <t>2</t>
    </r>
    <r>
      <rPr>
        <b/>
        <sz val="11"/>
        <color rgb="FF000098"/>
        <rFont val="Calibri"/>
        <family val="2"/>
      </rPr>
      <t xml:space="preserve"> sequestration (from feedstock biogenic fraction)</t>
    </r>
  </si>
  <si>
    <r>
      <t>CO</t>
    </r>
    <r>
      <rPr>
        <b/>
        <vertAlign val="subscript"/>
        <sz val="11"/>
        <color rgb="FF000098"/>
        <rFont val="Calibri"/>
        <family val="2"/>
      </rPr>
      <t>2</t>
    </r>
    <r>
      <rPr>
        <b/>
        <sz val="11"/>
        <color rgb="FF000098"/>
        <rFont val="Calibri"/>
        <family val="2"/>
      </rPr>
      <t xml:space="preserve"> sequestration (from feedstock fossil fraction)</t>
    </r>
  </si>
  <si>
    <r>
      <t>CO</t>
    </r>
    <r>
      <rPr>
        <b/>
        <vertAlign val="subscript"/>
        <sz val="11"/>
        <color rgb="FF000098"/>
        <rFont val="Calibri"/>
        <family val="2"/>
      </rPr>
      <t>2</t>
    </r>
    <r>
      <rPr>
        <b/>
        <sz val="11"/>
        <color rgb="FF000098"/>
        <rFont val="Calibri"/>
        <family val="2"/>
      </rPr>
      <t xml:space="preserve"> sequestration (from other inputs)</t>
    </r>
  </si>
  <si>
    <t>Upstream GHGs</t>
  </si>
  <si>
    <t>Generated CO2</t>
  </si>
  <si>
    <t>Supply+use GHGs</t>
  </si>
  <si>
    <t>Fugitive GHGs</t>
  </si>
  <si>
    <t>e.g. Marine fuel oil for CO2 transport (accounting for both supply and combustion of any fuel)</t>
  </si>
  <si>
    <t>Accounting for only the upstream supply chain to the plant within the GHG intensity</t>
  </si>
  <si>
    <t>Accounting for both supply and combustion of any fuel within the GHG intensity</t>
  </si>
  <si>
    <t>e.g. Diesel for CO2 transport (accounting for both supply and combustion of any fuel)</t>
  </si>
  <si>
    <t>e.g. Biogenic CO2 generated from use of feedstock or products onsite (e.g. some burnt onsite for heating)</t>
  </si>
  <si>
    <t>e.g. Fossil CO2 generated from use of feedstock or products onsite (e.g. some burnt onsite for heating)</t>
  </si>
  <si>
    <t>e.g. Biogenic CO2 captured and sequestered (from feedstock)</t>
  </si>
  <si>
    <t>e.g. Fossil CO2 captured and sequestered (from feedstock)</t>
  </si>
  <si>
    <t>e.g. Fossil CO2 captured and sequestered (from other inputs)</t>
  </si>
  <si>
    <t>e.g. Biogenic CO2 captured and sequestered (from other inputs)</t>
  </si>
  <si>
    <t>e.g. Diesel for CO2 transport</t>
  </si>
  <si>
    <t>Sequestered CO2</t>
  </si>
  <si>
    <t>Enter data here</t>
  </si>
  <si>
    <t>Use column to left</t>
  </si>
  <si>
    <t/>
  </si>
  <si>
    <t>Hydrogen pressure chosen, unless Default data is selected for Energy Supply emissions category in which case 3MPa chosen</t>
  </si>
  <si>
    <t>3MPa theoretical set point of the Low Carbon Hydrogen Standard is specified, unless Default data is selected for Energy Supply emissions category and desired hydrogen pressure is higher than 3MPa</t>
  </si>
  <si>
    <t>Purification energy is required if purity &lt;99.9% by vol, or if purity is &gt;99.9% by vol but Default data is selected for Energy Supply emissions category</t>
  </si>
  <si>
    <t>Energy supply - nuclear hydrogen consignment (electricity). Include any nuclear electricity used in onsite (non-theoretical) Compression &amp; Purification</t>
  </si>
  <si>
    <t>Energy supply - grid hydrogen consignment (electricity). Include any grid electricity used in onsite (non-theoretical) Compression &amp; Purification</t>
  </si>
  <si>
    <r>
      <t>Input materials (upstream materials supply emissions, but not emissions from their use in the process - which are dealt with in Process CO</t>
    </r>
    <r>
      <rPr>
        <b/>
        <vertAlign val="subscript"/>
        <sz val="11"/>
        <color rgb="FF000098"/>
        <rFont val="Calibri"/>
        <family val="2"/>
      </rPr>
      <t>2</t>
    </r>
    <r>
      <rPr>
        <b/>
        <sz val="11"/>
        <color rgb="FF000098"/>
        <rFont val="Calibri"/>
        <family val="2"/>
      </rPr>
      <t xml:space="preserve"> generation and Fugitive non-CO</t>
    </r>
    <r>
      <rPr>
        <b/>
        <vertAlign val="subscript"/>
        <sz val="11"/>
        <color rgb="FF000098"/>
        <rFont val="Calibri"/>
        <family val="2"/>
      </rPr>
      <t>2</t>
    </r>
    <r>
      <rPr>
        <b/>
        <sz val="11"/>
        <color rgb="FF000098"/>
        <rFont val="Calibri"/>
        <family val="2"/>
      </rPr>
      <t xml:space="preserve"> emissions sections). Include any materials used in onsite (non-theoretical) Compression &amp; Purification</t>
    </r>
  </si>
  <si>
    <t>Energy supply (electricity, steam, heat, upstream fuel supply emissions). Include any energy used in onsite (non-theoretical) Compression &amp; Purification</t>
  </si>
  <si>
    <t>Data type for categories</t>
  </si>
  <si>
    <t>Restricted data type for categories</t>
  </si>
  <si>
    <t>Pathways with restricted data types</t>
  </si>
  <si>
    <t>Waste Gasification with CCS</t>
  </si>
  <si>
    <t>Waste Gasification without CCS</t>
  </si>
  <si>
    <t>Likely to be UK grid electricity</t>
  </si>
  <si>
    <t>e.g. Exported electricity</t>
  </si>
  <si>
    <t>Accounting for only the upstream supply chain to the plant within the GHG intensity. Record any CO2 released on use in outputs table below</t>
  </si>
  <si>
    <t>Accounting for only the upstream supply chain to the plant within the GHG intensity. Record any CO2 released on use in the process emissions table below</t>
  </si>
  <si>
    <t>Please confirm that your hydrogen production plant is yet to be constructed (select ‘Yes’ if not yet built)</t>
  </si>
  <si>
    <r>
      <t>Module efficiency (MJ</t>
    </r>
    <r>
      <rPr>
        <b/>
        <vertAlign val="subscript"/>
        <sz val="11"/>
        <color rgb="FF000098"/>
        <rFont val="Calibri"/>
        <family val="2"/>
      </rPr>
      <t>LHV</t>
    </r>
    <r>
      <rPr>
        <b/>
        <sz val="11"/>
        <color rgb="FF000098"/>
        <rFont val="Calibri"/>
        <family val="2"/>
      </rPr>
      <t xml:space="preserve"> module main output/MJ</t>
    </r>
    <r>
      <rPr>
        <b/>
        <vertAlign val="subscript"/>
        <sz val="11"/>
        <color rgb="FF000098"/>
        <rFont val="Calibri"/>
        <family val="2"/>
      </rPr>
      <t>LHV</t>
    </r>
    <r>
      <rPr>
        <b/>
        <sz val="11"/>
        <color rgb="FF000098"/>
        <rFont val="Calibri"/>
        <family val="2"/>
      </rPr>
      <t xml:space="preserve"> module main input)</t>
    </r>
  </si>
  <si>
    <r>
      <t>Energy allocation (MJ</t>
    </r>
    <r>
      <rPr>
        <b/>
        <vertAlign val="subscript"/>
        <sz val="11"/>
        <color rgb="FF000098"/>
        <rFont val="Calibri"/>
        <family val="2"/>
      </rPr>
      <t>LHV</t>
    </r>
    <r>
      <rPr>
        <b/>
        <sz val="11"/>
        <color rgb="FF000098"/>
        <rFont val="Calibri"/>
        <family val="2"/>
      </rPr>
      <t xml:space="preserve"> main product/MJ</t>
    </r>
    <r>
      <rPr>
        <b/>
        <vertAlign val="subscript"/>
        <sz val="11"/>
        <color rgb="FF000098"/>
        <rFont val="Calibri"/>
        <family val="2"/>
      </rPr>
      <t>LHV</t>
    </r>
    <r>
      <rPr>
        <b/>
        <sz val="11"/>
        <color rgb="FF000098"/>
        <rFont val="Calibri"/>
        <family val="2"/>
      </rPr>
      <t xml:space="preserve"> all products)</t>
    </r>
  </si>
  <si>
    <r>
      <t>GHG intensity 
(gCO</t>
    </r>
    <r>
      <rPr>
        <b/>
        <vertAlign val="subscript"/>
        <sz val="11"/>
        <color rgb="FF000098"/>
        <rFont val="Calibri"/>
        <family val="2"/>
      </rPr>
      <t>2</t>
    </r>
    <r>
      <rPr>
        <b/>
        <sz val="11"/>
        <color rgb="FF000098"/>
        <rFont val="Calibri"/>
        <family val="2"/>
      </rPr>
      <t>e/MJ</t>
    </r>
    <r>
      <rPr>
        <b/>
        <vertAlign val="subscript"/>
        <sz val="11"/>
        <color rgb="FF000098"/>
        <rFont val="Calibri"/>
        <family val="2"/>
      </rPr>
      <t>LHV</t>
    </r>
    <r>
      <rPr>
        <b/>
        <sz val="11"/>
        <color rgb="FF000098"/>
        <rFont val="Calibri"/>
        <family val="2"/>
      </rPr>
      <t xml:space="preserve"> of energy) - for flows with MWh/yr (LHV) units</t>
    </r>
  </si>
  <si>
    <t>Hydrogen Emissions Calculator for the UK Low Carbon Hydrogen Standard: 
FULL CALCULATOR FOR ALL ELIGIBLE PATHWAYS</t>
  </si>
  <si>
    <t>The onus is on the user to carefully check all the data they input and any suggested datasets referenced within the tool that they rely on within their calculations, including whether any default data used is applicable to the user's feedstock and pathway.</t>
  </si>
  <si>
    <t>Fill in project details, pathway technology, feedstock details, electricity use, hydrogen output characteristics, CO2 capture assumptions and data sourcing</t>
  </si>
  <si>
    <t>Project details</t>
  </si>
  <si>
    <t>Organisation name</t>
  </si>
  <si>
    <t>Contact email address</t>
  </si>
  <si>
    <t>A user achieving a satisfactory GHG emissions result within the tool is not necessarily proof of compliance with the UK's Low Carbon Hydrogen Standard nor eligibility for any UK Government grant funding or revenue support policies that rely on the Low Carbon Hydrogen Standard. E4tech, Arup and BEIS take no responsibility for any user errors or inconsistent datasets being used.</t>
  </si>
  <si>
    <t>Has the user answered all relevant questions?</t>
  </si>
  <si>
    <t>Are the data used for the calculations in this workbook Projected, Default data or a Mix? 
NB: If selecting the "Other" pathway, POX pathway, Biomethane SMR pathways, Electrolysis using 'Other electricity input', Fossil natural gas feedstock not taken from the UK gas grid, or if using a feedstock that does not match the feedstock within the BEIS default emissions dataset, users are not allowed to select "Default" or "Mixed", and must select "Projected".</t>
  </si>
  <si>
    <t>In the calculations within this workbook, please state clearly what grid factor you have assumed, and to which year this relates.</t>
  </si>
  <si>
    <t>Only once a completed version of this file, accompanying files for other hydrogen consignments (where relevant) and all accompanying evidence have been subject to detailed review for validity and consistency will BEIS be able to state whether a project is likely to be compliant with the Low Carbon Hydrogen Standard.</t>
  </si>
  <si>
    <t>Some sections may not be applicable to the pathway selected and the user should move on to the next set of questions if this is the case.</t>
  </si>
  <si>
    <t>What full calendar year of plant operations do the calculations in this workbook cover?</t>
  </si>
  <si>
    <t>Of the electricity imported into the processing plant in the relevant year of operations, what is the breakdown of sources of this electricity? Please enter 0 if not applicable.</t>
  </si>
  <si>
    <t>Expected annual average GHG emissions intensity of the total electricity imported into the processing plant in the relevant calendar year of operations</t>
  </si>
  <si>
    <t>No 1.4x multiplier applied. 65.01% LHV efficiency (from BEIS Hydrogen Production Costs 2021 Annex) applied to grid electricity factor for relevant calendar year of operations. LCA tool comparator data only taken from 2025 grid intensity</t>
  </si>
  <si>
    <r>
      <t>2025 estimated UK grid electricity GHG emissions intensity of 33.53gCO</t>
    </r>
    <r>
      <rPr>
        <vertAlign val="subscript"/>
        <sz val="11"/>
        <color theme="1"/>
        <rFont val="Calibri"/>
        <family val="2"/>
        <scheme val="minor"/>
      </rPr>
      <t>2e</t>
    </r>
    <r>
      <rPr>
        <sz val="11"/>
        <color theme="1"/>
        <rFont val="Calibri"/>
        <family val="2"/>
        <scheme val="minor"/>
      </rPr>
      <t>/MJe (generation with T&amp;D losses to reach an industrial consumer) has been used for calculation of all the default values, except grid electrolysis, where the UK grid electricity intensity in the relevant calendar year of operations is used instead (with a default electrolysis efficiency)</t>
    </r>
  </si>
  <si>
    <t>Please provide references to documents that evidence the GHG calculations for the project (e.g. technical evidence, feedstock contracts, offtakes etc), and attach these documents alongside your submitted workbook(s)</t>
  </si>
  <si>
    <t>Initial questions to be filled in by any hydrogen production project</t>
  </si>
  <si>
    <r>
      <t>Your project may be at an early stage, and there may be insufficient data available to calculate the GHG emissions from certain steps of our pathway. Default data has been provided for the GHG emissions associated with feedstock supply, processing plant energy inputs, and processing plant input materials, for those hydrogen production pathways detailed in the Low Carbon Hydrogen Standard. If default data is required for the pathway, this should be selected in the drop down list to allow for the data to be populated in the relevant Summary GHG worksheet to calculate your result. Default data is not provided for the emissions associated with Process emissions (CO</t>
    </r>
    <r>
      <rPr>
        <vertAlign val="subscript"/>
        <sz val="11"/>
        <color rgb="FF000000"/>
        <rFont val="Calibri"/>
        <family val="2"/>
      </rPr>
      <t>2</t>
    </r>
    <r>
      <rPr>
        <sz val="11"/>
        <color rgb="FF000000"/>
        <rFont val="Calibri"/>
        <family val="2"/>
      </rPr>
      <t xml:space="preserve"> generated), CCS process and infrastructure, CO</t>
    </r>
    <r>
      <rPr>
        <vertAlign val="subscript"/>
        <sz val="11"/>
        <color rgb="FF000000"/>
        <rFont val="Calibri"/>
        <family val="2"/>
      </rPr>
      <t>2</t>
    </r>
    <r>
      <rPr>
        <sz val="11"/>
        <color rgb="FF000000"/>
        <rFont val="Calibri"/>
        <family val="2"/>
      </rPr>
      <t xml:space="preserve"> sequestration, and fugitive non-CO</t>
    </r>
    <r>
      <rPr>
        <vertAlign val="subscript"/>
        <sz val="11"/>
        <color rgb="FF000000"/>
        <rFont val="Calibri"/>
        <family val="2"/>
      </rPr>
      <t>2</t>
    </r>
    <r>
      <rPr>
        <sz val="11"/>
        <color rgb="FF000000"/>
        <rFont val="Calibri"/>
        <family val="2"/>
      </rPr>
      <t xml:space="preserve"> emissions, and so projected data values must be used for these categories. Projected data must also be used if your feedstock or pathway does not match the feedstock or pathway within the BEIS default dataset.</t>
    </r>
  </si>
  <si>
    <t>Energy supply - "other electricity source" hydrogen consignment (electricity). Include any "other electricity source" used in onsite (non-theoretical) Compression &amp; Purification</t>
  </si>
  <si>
    <t>Energy supply (steam, heat, upstream fuel supply emissions) used across all consignments, excluding consignment energy flows already listed above. Include any non-electricity energy sources used in onsite (non-theoretical) Compression &amp; Purification</t>
  </si>
  <si>
    <t>Please ensure that any flow values you provide in this schematic are consistent with the Initial questions worksheet and your processing plant worksheet</t>
  </si>
  <si>
    <r>
      <t>Wind/solar electricity GHG intensity (kgCO</t>
    </r>
    <r>
      <rPr>
        <b/>
        <vertAlign val="subscript"/>
        <sz val="11"/>
        <color rgb="FF000000"/>
        <rFont val="Calibri"/>
        <family val="2"/>
      </rPr>
      <t>2e</t>
    </r>
    <r>
      <rPr>
        <b/>
        <sz val="11"/>
        <color rgb="FF000000"/>
        <rFont val="Calibri"/>
        <family val="2"/>
      </rPr>
      <t>/kWhe)</t>
    </r>
  </si>
  <si>
    <t>Please give further details of the source of the electricity used in the processing plant (e.g. type, location, scale and status of a specific power plant, other generation sources imported)</t>
  </si>
  <si>
    <t>For the electricity imported into the processing plant, please enter the % of electricity sourced via each arrangement (enter 0% if not applicable)</t>
  </si>
  <si>
    <t>What is the proposed production of hydrogen in the relevant year of operations, after any onsite compression and purification?</t>
  </si>
  <si>
    <t>What is the proposed hydrogen output temperature of your production plant, after any onsite compression and purification?</t>
  </si>
  <si>
    <t>Other electricity source</t>
  </si>
  <si>
    <t>Expected annual average % of electricity derived from low-carbon sources - please adjust the formula if the 'other electricity source' is low carbon</t>
  </si>
  <si>
    <t>Electrolysis using wind/solar, nuclear, grid or other electricity sources</t>
  </si>
  <si>
    <t>Curtailed low carbon electricity</t>
  </si>
  <si>
    <t xml:space="preserve">Direct/Sleeved Power Purchase Agreement (physical tracing of low carbon generation via the grid) </t>
  </si>
  <si>
    <t xml:space="preserve">Wholesale purchase from generator (physical tracing of low carbon generation via the grid) </t>
  </si>
  <si>
    <t xml:space="preserve">Virtual PPA (treated as grid imported electricity if there is no physical tracing of low carbon generation) </t>
  </si>
  <si>
    <t xml:space="preserve">Wholesale/retail grid import (no links to low carbon generation – taken as grid average) </t>
  </si>
  <si>
    <t>Other renewable or low carbon electricity sources (e.g. biogenic, hydroelectric, geothermal) should use actual data, projected data or appropriate literature references for their electricity GHG intensity, which may not be nil.</t>
  </si>
  <si>
    <t>Wind/solar electrolysis</t>
  </si>
  <si>
    <t>Electrolysis using wind/solar electricity</t>
  </si>
  <si>
    <t>Wind/solar electricity</t>
  </si>
  <si>
    <t>NB: the central, best and worst case values are specific to a certain electricity mix (in this case, 100% wind/solar electricity), so values in these columns may not be appropriate for comparison with your pathway.</t>
  </si>
  <si>
    <t>Wind/solar electricity consignment of Electrolysis</t>
  </si>
  <si>
    <t>Hydrogen (wind/solar + nuclear + grid + other consignments)</t>
  </si>
  <si>
    <t>Module total (gCO2e/MJ wind or solar H2)</t>
  </si>
  <si>
    <t>gCO2e/MJ wind or solar H2</t>
  </si>
  <si>
    <t>Energy supply - wind/solar hydrogen consignment (electricity). Include any wind/solar electricity used in onsite (non-theoretical) Compression &amp; Purification</t>
  </si>
  <si>
    <t>e.g. Annual wind/solar electricity to electrolyser and de-ionisation of water and onsite compression/purification</t>
  </si>
  <si>
    <t>e.g. Annual nuclear electricity to electrolyser and de-ionisation of water and onsite compression/purification</t>
  </si>
  <si>
    <t>e.g. Annual grid electricity to electrolyser and de-ionisation of water and onsite compression/purification</t>
  </si>
  <si>
    <t>e.g. Annual electricity to electrolyser and de-ionisation of water and onsite compression/purification</t>
  </si>
  <si>
    <t>Wind or solar electricity</t>
  </si>
  <si>
    <t>It is assumed wind/solar electricity emissions (nil) are included in Energy supply, not in Feedstock supply</t>
  </si>
  <si>
    <t>v2.5 Full</t>
  </si>
  <si>
    <t>Set formula if &lt;3 MPa, or default Energy supply and &gt;3 MPa</t>
  </si>
  <si>
    <t>Set formula if &lt;99.9% by vol, or default Energy supply and &gt;99.9%</t>
  </si>
  <si>
    <t>tonnes/year</t>
  </si>
  <si>
    <t>Electricity input mix as above</t>
  </si>
  <si>
    <t>What is the expected source of the electricity that would theoretically be used for compression or purification up to the minimum levels in the Standard (if output pressure and/or purity are below the Standard levels), or for compression or purification from the Standard levels up to higher output levels specified (if Default data is selected for Energy supply emissions)?</t>
  </si>
  <si>
    <r>
      <t>gCO</t>
    </r>
    <r>
      <rPr>
        <b/>
        <vertAlign val="subscript"/>
        <sz val="11"/>
        <rFont val="Calibri"/>
        <family val="2"/>
      </rPr>
      <t>2</t>
    </r>
    <r>
      <rPr>
        <b/>
        <sz val="11"/>
        <rFont val="Calibri"/>
        <family val="2"/>
      </rPr>
      <t>e/MJ</t>
    </r>
    <r>
      <rPr>
        <b/>
        <vertAlign val="subscript"/>
        <sz val="11"/>
        <rFont val="Calibri"/>
        <family val="2"/>
      </rPr>
      <t>LHV</t>
    </r>
    <r>
      <rPr>
        <b/>
        <sz val="11"/>
        <rFont val="Calibri"/>
        <family val="2"/>
      </rPr>
      <t xml:space="preserve"> H2</t>
    </r>
  </si>
  <si>
    <r>
      <t>MJ</t>
    </r>
    <r>
      <rPr>
        <b/>
        <vertAlign val="subscript"/>
        <sz val="11"/>
        <rFont val="Calibri"/>
        <family val="2"/>
      </rPr>
      <t>LHV</t>
    </r>
    <r>
      <rPr>
        <b/>
        <sz val="11"/>
        <rFont val="Calibri"/>
        <family val="2"/>
      </rPr>
      <t xml:space="preserve"> H</t>
    </r>
    <r>
      <rPr>
        <b/>
        <vertAlign val="subscript"/>
        <sz val="11"/>
        <rFont val="Calibri"/>
        <family val="2"/>
      </rPr>
      <t>2</t>
    </r>
    <r>
      <rPr>
        <b/>
        <sz val="11"/>
        <rFont val="Calibri"/>
        <family val="2"/>
      </rPr>
      <t>/MJ</t>
    </r>
    <r>
      <rPr>
        <b/>
        <vertAlign val="subscript"/>
        <sz val="11"/>
        <rFont val="Calibri"/>
        <family val="2"/>
      </rPr>
      <t>LHV</t>
    </r>
    <r>
      <rPr>
        <b/>
        <sz val="11"/>
        <rFont val="Calibri"/>
        <family val="2"/>
      </rPr>
      <t xml:space="preserve"> crop feedstock</t>
    </r>
  </si>
  <si>
    <t>On-grid dedicated generation (via physically linked low carbon electricity generation), if low carbon electricity generator and/or hydrogen production plant connected to the grid</t>
  </si>
  <si>
    <t>Off-grid dedicated generation (via physically linked low carbon electricity generation), neither low carbon electricity generator or hydrogen production plant connected to the grid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</si>
</sst>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3" formatCode="_-* #,##0.00_-;\-* #,##0.00_-;_-* &quot;-&quot;??_-;_-@_-"/>
    <numFmt numFmtId="164" formatCode="0.0000"/>
    <numFmt numFmtId="165" formatCode="dd\-mmm\-yyyy"/>
    <numFmt numFmtId="166" formatCode="0.000000"/>
    <numFmt numFmtId="167" formatCode="#,##0.0000"/>
    <numFmt numFmtId="168" formatCode="#,##0.0000000"/>
    <numFmt numFmtId="169" formatCode="0.00000"/>
    <numFmt numFmtId="170" formatCode="0.000"/>
    <numFmt numFmtId="171" formatCode="#,##0.000"/>
    <numFmt numFmtId="172" formatCode="0.0000000"/>
    <numFmt numFmtId="173" formatCode="#,##0.0"/>
    <numFmt numFmtId="174" formatCode="0.0"/>
    <numFmt numFmtId="175" formatCode="#,##0.00000"/>
    <numFmt numFmtId="176" formatCode="_-* #,##0_-;\-* #,##0_-;_-* &quot;-&quot;??_-;_-@_-"/>
    <numFmt numFmtId="177" formatCode="dd\ mmm\ yyyy"/>
    <numFmt numFmtId="178" formatCode="_-* #,##0.000_-;\-* #,##0.000_-;_-* &quot;-&quot;??_-;_-@_-"/>
    <numFmt numFmtId="179" formatCode="0.0%"/>
    <numFmt numFmtId="180" formatCode="0.000%"/>
    <numFmt numFmtId="181" formatCode="_-* #,##0.0000_-;\-* #,##0.0000_-;_-* &quot;-&quot;??_-;_-@_-"/>
    <numFmt numFmtId="182" formatCode="_-* #,##0.00000_-;\-* #,##0.00000_-;_-* &quot;-&quot;??_-;_-@_-"/>
  </numFmts>
  <fonts count="108">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theme="0" tint="-0.499984740745262"/>
      <name val="Calibri"/>
      <family val="2"/>
    </font>
    <font>
      <sz val="8"/>
      <color theme="0" tint="-0.499984740745262"/>
      <name val="Calibri"/>
      <family val="2"/>
    </font>
    <font>
      <b/>
      <sz val="11"/>
      <color theme="0"/>
      <name val="Calibri"/>
      <family val="2"/>
    </font>
    <font>
      <sz val="11"/>
      <color rgb="FF000098"/>
      <name val="Calibri"/>
      <family val="2"/>
    </font>
    <font>
      <b/>
      <sz val="11"/>
      <color rgb="FF000098"/>
      <name val="Calibri"/>
      <family val="2"/>
    </font>
    <font>
      <b/>
      <sz val="11"/>
      <color theme="7" tint="-0.499984740745262"/>
      <name val="Calibri"/>
      <family val="2"/>
    </font>
    <font>
      <sz val="11"/>
      <color theme="7" tint="-0.499984740745262"/>
      <name val="Calibri"/>
      <family val="2"/>
    </font>
    <font>
      <sz val="11"/>
      <color rgb="FF000000"/>
      <name val="Calibri"/>
      <family val="2"/>
    </font>
    <font>
      <sz val="10"/>
      <name val="Arial"/>
      <family val="2"/>
    </font>
    <font>
      <b/>
      <sz val="11"/>
      <color rgb="FF000000"/>
      <name val="Calibri"/>
      <family val="2"/>
    </font>
    <font>
      <sz val="11"/>
      <color indexed="8"/>
      <name val="Calibri"/>
      <family val="2"/>
    </font>
    <font>
      <sz val="10"/>
      <name val="Arial Cyr"/>
    </font>
    <font>
      <b/>
      <sz val="14"/>
      <name val="Calibri"/>
      <family val="2"/>
      <scheme val="minor"/>
    </font>
    <font>
      <b/>
      <sz val="10"/>
      <color indexed="8"/>
      <name val="Calibri"/>
      <family val="2"/>
      <scheme val="minor"/>
    </font>
    <font>
      <sz val="10"/>
      <color indexed="8"/>
      <name val="Calibri"/>
      <family val="2"/>
      <scheme val="minor"/>
    </font>
    <font>
      <sz val="11"/>
      <color rgb="FF000000"/>
      <name val="Calibri"/>
      <family val="2"/>
      <scheme val="minor"/>
    </font>
    <font>
      <b/>
      <sz val="11"/>
      <color rgb="FF000098"/>
      <name val="Calibri"/>
      <family val="2"/>
      <scheme val="minor"/>
    </font>
    <font>
      <b/>
      <sz val="11"/>
      <color indexed="8"/>
      <name val="Calibri"/>
      <family val="2"/>
      <scheme val="minor"/>
    </font>
    <font>
      <sz val="11"/>
      <color indexed="8"/>
      <name val="Calibri"/>
      <family val="2"/>
      <scheme val="minor"/>
    </font>
    <font>
      <b/>
      <sz val="12"/>
      <color indexed="8"/>
      <name val="Calibri"/>
      <family val="2"/>
      <scheme val="minor"/>
    </font>
    <font>
      <sz val="12"/>
      <color indexed="8"/>
      <name val="Calibri"/>
      <family val="2"/>
      <scheme val="minor"/>
    </font>
    <font>
      <b/>
      <sz val="11"/>
      <name val="Calibri"/>
      <family val="2"/>
      <scheme val="minor"/>
    </font>
    <font>
      <sz val="11"/>
      <name val="Calibri"/>
      <family val="2"/>
      <scheme val="minor"/>
    </font>
    <font>
      <sz val="10"/>
      <color rgb="FF000098"/>
      <name val="Calibri"/>
      <family val="2"/>
      <scheme val="minor"/>
    </font>
    <font>
      <sz val="10"/>
      <name val="Calibri"/>
      <family val="2"/>
      <scheme val="minor"/>
    </font>
    <font>
      <b/>
      <sz val="9"/>
      <color indexed="81"/>
      <name val="Tahoma"/>
      <family val="2"/>
    </font>
    <font>
      <sz val="9"/>
      <color indexed="81"/>
      <name val="Tahoma"/>
      <family val="2"/>
    </font>
    <font>
      <b/>
      <sz val="11"/>
      <name val="Calibri"/>
      <family val="2"/>
    </font>
    <font>
      <sz val="11"/>
      <color rgb="FFFF0000"/>
      <name val="Calibri"/>
      <family val="2"/>
    </font>
    <font>
      <b/>
      <i/>
      <sz val="11"/>
      <color rgb="FF000000"/>
      <name val="Calibri"/>
      <family val="2"/>
    </font>
    <font>
      <sz val="12"/>
      <color rgb="FF000000"/>
      <name val="Calibri"/>
      <family val="2"/>
    </font>
    <font>
      <u/>
      <sz val="11"/>
      <color rgb="FF000000"/>
      <name val="Calibri"/>
      <family val="2"/>
    </font>
    <font>
      <u/>
      <sz val="11"/>
      <color theme="10"/>
      <name val="Calibri"/>
      <family val="2"/>
    </font>
    <font>
      <b/>
      <sz val="11"/>
      <color indexed="8"/>
      <name val="Calibri"/>
      <family val="2"/>
    </font>
    <font>
      <sz val="11"/>
      <color theme="10"/>
      <name val="Calibri"/>
      <family val="2"/>
    </font>
    <font>
      <b/>
      <sz val="18"/>
      <color theme="3"/>
      <name val="Calibri"/>
      <family val="2"/>
      <scheme val="major"/>
    </font>
    <font>
      <sz val="11"/>
      <color theme="1"/>
      <name val="Arial"/>
      <family val="2"/>
    </font>
    <font>
      <sz val="11"/>
      <color indexed="9"/>
      <name val="Calibri"/>
      <family val="2"/>
    </font>
    <font>
      <sz val="10"/>
      <color rgb="FF000000"/>
      <name val="Arial"/>
      <family val="2"/>
    </font>
    <font>
      <sz val="11"/>
      <color theme="1"/>
      <name val="Times New Roman"/>
      <family val="2"/>
    </font>
    <font>
      <b/>
      <sz val="11"/>
      <color theme="1"/>
      <name val="Calibri"/>
      <family val="2"/>
      <scheme val="minor"/>
    </font>
    <font>
      <sz val="11"/>
      <color rgb="FF00B0F0"/>
      <name val="Calibri"/>
      <family val="2"/>
    </font>
    <font>
      <sz val="11"/>
      <color theme="0"/>
      <name val="Calibri"/>
      <family val="2"/>
      <scheme val="minor"/>
    </font>
    <font>
      <i/>
      <sz val="11"/>
      <color theme="2" tint="-0.499984740745262"/>
      <name val="Calibri"/>
      <family val="2"/>
    </font>
    <font>
      <b/>
      <vertAlign val="subscript"/>
      <sz val="11"/>
      <color rgb="FF000000"/>
      <name val="Calibri"/>
      <family val="2"/>
    </font>
    <font>
      <sz val="11"/>
      <color theme="0" tint="-0.249977111117893"/>
      <name val="Calibri"/>
      <family val="2"/>
      <scheme val="minor"/>
    </font>
    <font>
      <sz val="24"/>
      <color rgb="FFFF0000"/>
      <name val="Calibri"/>
      <family val="2"/>
    </font>
    <font>
      <b/>
      <sz val="11"/>
      <color rgb="FFFF0000"/>
      <name val="Calibri"/>
      <family val="2"/>
    </font>
    <font>
      <sz val="11"/>
      <color theme="0" tint="-0.34998626667073579"/>
      <name val="Calibri"/>
      <family val="2"/>
    </font>
    <font>
      <b/>
      <vertAlign val="subscript"/>
      <sz val="11"/>
      <name val="Calibri"/>
      <family val="2"/>
    </font>
    <font>
      <i/>
      <sz val="11"/>
      <color rgb="FF000000"/>
      <name val="Calibri"/>
      <family val="2"/>
    </font>
    <font>
      <b/>
      <sz val="22"/>
      <color rgb="FF000000"/>
      <name val="Calibri"/>
      <family val="2"/>
    </font>
    <font>
      <b/>
      <sz val="14"/>
      <name val="Calibri"/>
      <family val="2"/>
    </font>
    <font>
      <sz val="14"/>
      <color rgb="FF000000"/>
      <name val="Calibri"/>
      <family val="2"/>
    </font>
    <font>
      <b/>
      <vertAlign val="superscript"/>
      <sz val="10"/>
      <name val="Calibri"/>
      <family val="2"/>
      <scheme val="minor"/>
    </font>
    <font>
      <b/>
      <sz val="10"/>
      <name val="Calibri"/>
      <family val="2"/>
      <scheme val="minor"/>
    </font>
    <font>
      <b/>
      <i/>
      <sz val="11"/>
      <name val="Calibri"/>
      <family val="2"/>
    </font>
    <font>
      <b/>
      <u/>
      <sz val="14"/>
      <color theme="3"/>
      <name val="Calibri"/>
      <family val="2"/>
    </font>
    <font>
      <sz val="11"/>
      <color theme="1"/>
      <name val="Calibri"/>
      <family val="2"/>
    </font>
    <font>
      <b/>
      <sz val="12"/>
      <color rgb="FF000000"/>
      <name val="Calibri"/>
      <family val="2"/>
    </font>
    <font>
      <b/>
      <sz val="14"/>
      <color theme="10"/>
      <name val="Calibri"/>
      <family val="2"/>
    </font>
    <font>
      <b/>
      <sz val="14"/>
      <color rgb="FF000000"/>
      <name val="Calibri"/>
      <family val="2"/>
    </font>
    <font>
      <sz val="16"/>
      <color rgb="FF000000"/>
      <name val="Calibri"/>
      <family val="2"/>
    </font>
    <font>
      <b/>
      <sz val="10"/>
      <color rgb="FF000000"/>
      <name val="Calibri"/>
      <family val="2"/>
    </font>
    <font>
      <b/>
      <vertAlign val="subscript"/>
      <sz val="10"/>
      <color rgb="FF000000"/>
      <name val="Calibri"/>
      <family val="2"/>
    </font>
    <font>
      <b/>
      <sz val="12"/>
      <color rgb="FFFF0000"/>
      <name val="Calibri"/>
      <family val="2"/>
    </font>
    <font>
      <b/>
      <sz val="14"/>
      <color rgb="FF000000"/>
      <name val="Calibri"/>
      <family val="2"/>
      <scheme val="minor"/>
    </font>
    <font>
      <b/>
      <sz val="18"/>
      <color rgb="FF000000"/>
      <name val="Calibri"/>
      <family val="2"/>
    </font>
    <font>
      <b/>
      <vertAlign val="superscript"/>
      <sz val="11"/>
      <color theme="1"/>
      <name val="Calibri"/>
      <family val="2"/>
      <scheme val="minor"/>
    </font>
    <font>
      <i/>
      <sz val="11"/>
      <color theme="0" tint="-0.34998626667073579"/>
      <name val="Calibri"/>
      <family val="2"/>
    </font>
    <font>
      <b/>
      <sz val="11"/>
      <color theme="0" tint="-0.34998626667073579"/>
      <name val="Calibri"/>
      <family val="2"/>
    </font>
    <font>
      <b/>
      <i/>
      <sz val="11"/>
      <color theme="0" tint="-0.34998626667073579"/>
      <name val="Calibri"/>
      <family val="2"/>
    </font>
    <font>
      <b/>
      <i/>
      <vertAlign val="subscript"/>
      <sz val="11"/>
      <color theme="0" tint="-0.34998626667073579"/>
      <name val="Calibri"/>
      <family val="2"/>
    </font>
    <font>
      <b/>
      <u/>
      <sz val="14"/>
      <color theme="7" tint="-0.499984740745262"/>
      <name val="Calibri"/>
      <family val="2"/>
    </font>
    <font>
      <b/>
      <vertAlign val="subscript"/>
      <sz val="11"/>
      <color rgb="FF000098"/>
      <name val="Calibri"/>
      <family val="2"/>
    </font>
    <font>
      <u/>
      <sz val="11"/>
      <name val="Calibri"/>
      <family val="2"/>
    </font>
    <font>
      <vertAlign val="subscript"/>
      <sz val="11"/>
      <color rgb="FF000000"/>
      <name val="Calibri"/>
      <family val="2"/>
    </font>
    <font>
      <i/>
      <sz val="11"/>
      <name val="Calibri"/>
      <family val="2"/>
    </font>
    <font>
      <vertAlign val="subscript"/>
      <sz val="11"/>
      <name val="Calibri"/>
      <family val="2"/>
    </font>
    <font>
      <u/>
      <sz val="11"/>
      <color theme="7" tint="-0.499984740745262"/>
      <name val="Calibri"/>
      <family val="2"/>
    </font>
    <font>
      <sz val="11"/>
      <color theme="0" tint="-0.249977111117893"/>
      <name val="Calibri"/>
      <family val="2"/>
    </font>
    <font>
      <u/>
      <sz val="11"/>
      <color theme="0"/>
      <name val="Calibri"/>
      <family val="2"/>
    </font>
    <font>
      <sz val="11"/>
      <color rgb="FFFF0000"/>
      <name val="Calibri"/>
      <family val="2"/>
      <scheme val="minor"/>
    </font>
    <font>
      <u/>
      <sz val="11"/>
      <color rgb="FFFF0000"/>
      <name val="Calibri"/>
      <family val="2"/>
    </font>
    <font>
      <sz val="8"/>
      <name val="Calibri"/>
      <family val="2"/>
    </font>
    <font>
      <u/>
      <sz val="16"/>
      <color theme="10"/>
      <name val="Calibri"/>
      <family val="2"/>
    </font>
    <font>
      <sz val="12"/>
      <color rgb="FFFF0000"/>
      <name val="Calibri"/>
      <family val="2"/>
    </font>
    <font>
      <i/>
      <sz val="11"/>
      <color rgb="FFFF0000"/>
      <name val="Calibri"/>
      <family val="2"/>
    </font>
    <font>
      <sz val="10"/>
      <color rgb="FFFF0000"/>
      <name val="Calibri"/>
      <family val="2"/>
    </font>
    <font>
      <b/>
      <sz val="24"/>
      <color rgb="FFFF0000"/>
      <name val="Calibri"/>
      <family val="2"/>
    </font>
    <font>
      <vertAlign val="subscript"/>
      <sz val="11"/>
      <color theme="1"/>
      <name val="Calibri"/>
      <family val="2"/>
      <scheme val="minor"/>
    </font>
    <font>
      <vertAlign val="subscript"/>
      <sz val="11"/>
      <color theme="10"/>
      <name val="Calibri"/>
      <family val="2"/>
    </font>
    <font>
      <vertAlign val="superscript"/>
      <sz val="11"/>
      <color rgb="FF000000"/>
      <name val="Calibri"/>
      <family val="2"/>
    </font>
    <font>
      <b/>
      <vertAlign val="subscript"/>
      <sz val="11"/>
      <color rgb="FF000098"/>
      <name val="Calibri"/>
      <family val="2"/>
      <scheme val="minor"/>
    </font>
    <font>
      <vertAlign val="subscript"/>
      <sz val="11"/>
      <color rgb="FF000000"/>
      <name val="Calibri"/>
      <family val="2"/>
      <scheme val="minor"/>
    </font>
    <font>
      <b/>
      <u/>
      <sz val="14"/>
      <color theme="0"/>
      <name val="Calibri"/>
      <family val="2"/>
    </font>
    <font>
      <b/>
      <u/>
      <sz val="14"/>
      <name val="Calibri"/>
      <family val="2"/>
    </font>
    <font>
      <b/>
      <sz val="11"/>
      <color theme="1"/>
      <name val="Calibri"/>
      <family val="2"/>
      <scheme val="minor"/>
    </font>
  </fonts>
  <fills count="30">
    <fill>
      <patternFill patternType="none"/>
    </fill>
    <fill>
      <patternFill patternType="gray125"/>
    </fill>
    <fill>
      <patternFill patternType="solid">
        <fgColor rgb="FF1B429A"/>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6" tint="0.39994506668294322"/>
        <bgColor indexed="64"/>
      </patternFill>
    </fill>
    <fill>
      <patternFill patternType="solid">
        <fgColor theme="9" tint="0.59996337778862885"/>
        <bgColor indexed="64"/>
      </patternFill>
    </fill>
    <fill>
      <patternFill patternType="solid">
        <fgColor theme="0"/>
        <bgColor indexed="64"/>
      </patternFill>
    </fill>
    <fill>
      <patternFill patternType="solid">
        <fgColor theme="7" tint="0.79998168889431442"/>
        <bgColor indexed="64"/>
      </patternFill>
    </fill>
    <fill>
      <patternFill patternType="solid">
        <fgColor rgb="FFFF66CC"/>
        <bgColor indexed="64"/>
      </patternFill>
    </fill>
    <fill>
      <patternFill patternType="solid">
        <fgColor indexed="30"/>
      </patternFill>
    </fill>
    <fill>
      <patternFill patternType="solid">
        <fgColor theme="8" tint="0.39994506668294322"/>
        <bgColor indexed="64"/>
      </patternFill>
    </fill>
    <fill>
      <patternFill patternType="solid">
        <fgColor theme="2" tint="-9.9948118533890809E-2"/>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8"/>
        <bgColor indexed="64"/>
      </patternFill>
    </fill>
    <fill>
      <patternFill patternType="solid">
        <fgColor theme="5"/>
        <bgColor indexed="64"/>
      </patternFill>
    </fill>
    <fill>
      <patternFill patternType="solid">
        <fgColor rgb="FFFF9900"/>
        <bgColor indexed="64"/>
      </patternFill>
    </fill>
    <fill>
      <patternFill patternType="solid">
        <fgColor rgb="FFCCFF66"/>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1"/>
        <bgColor indexed="64"/>
      </patternFill>
    </fill>
    <fill>
      <patternFill patternType="solid">
        <fgColor rgb="FFC7E8FA"/>
        <bgColor indexed="64"/>
      </patternFill>
    </fill>
  </fills>
  <borders count="28">
    <border>
      <left/>
      <right/>
      <top/>
      <bottom/>
      <diagonal/>
    </border>
    <border>
      <left/>
      <right/>
      <top/>
      <bottom style="thick">
        <color rgb="FF6AB0E0"/>
      </bottom>
      <diagonal/>
    </border>
    <border>
      <left/>
      <right/>
      <top/>
      <bottom style="medium">
        <color rgb="FF6AB0E0"/>
      </bottom>
      <diagonal/>
    </border>
    <border>
      <left/>
      <right/>
      <top/>
      <bottom style="medium">
        <color theme="7" tint="-0.499984740745262"/>
      </bottom>
      <diagonal/>
    </border>
    <border>
      <left/>
      <right/>
      <top/>
      <bottom style="thin">
        <color theme="7" tint="-0.499984740745262"/>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thin">
        <color theme="1"/>
      </left>
      <right style="thin">
        <color theme="1"/>
      </right>
      <top style="thin">
        <color theme="1"/>
      </top>
      <bottom style="thin">
        <color theme="1"/>
      </bottom>
      <diagonal/>
    </border>
    <border>
      <left style="hair">
        <color auto="1"/>
      </left>
      <right style="hair">
        <color auto="1"/>
      </right>
      <top/>
      <bottom/>
      <diagonal/>
    </border>
    <border>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s>
  <cellStyleXfs count="68">
    <xf numFmtId="0" fontId="0" fillId="0" borderId="0"/>
    <xf numFmtId="3" fontId="9" fillId="5" borderId="0" applyNumberFormat="0" applyBorder="0"/>
    <xf numFmtId="3" fontId="9" fillId="4" borderId="0" applyNumberFormat="0" applyBorder="0">
      <protection locked="0"/>
    </xf>
    <xf numFmtId="3" fontId="9" fillId="3" borderId="0" applyNumberFormat="0" applyBorder="0"/>
    <xf numFmtId="0" fontId="12" fillId="2" borderId="1"/>
    <xf numFmtId="0" fontId="14" fillId="0" borderId="1"/>
    <xf numFmtId="0" fontId="16" fillId="6" borderId="4"/>
    <xf numFmtId="0" fontId="10" fillId="0" borderId="0"/>
    <xf numFmtId="0" fontId="11" fillId="0" borderId="0"/>
    <xf numFmtId="0" fontId="15" fillId="0" borderId="3"/>
    <xf numFmtId="0" fontId="13" fillId="0" borderId="2"/>
    <xf numFmtId="3" fontId="9" fillId="7" borderId="0" applyNumberFormat="0" applyBorder="0"/>
    <xf numFmtId="0" fontId="9" fillId="8" borderId="0" applyNumberFormat="0" applyBorder="0">
      <protection locked="0"/>
    </xf>
    <xf numFmtId="0" fontId="8" fillId="0" borderId="0"/>
    <xf numFmtId="0" fontId="18" fillId="0" borderId="0"/>
    <xf numFmtId="0" fontId="17" fillId="0" borderId="0"/>
    <xf numFmtId="43" fontId="17" fillId="0" borderId="0" applyFont="0" applyFill="0" applyBorder="0" applyAlignment="0" applyProtection="0"/>
    <xf numFmtId="0" fontId="17" fillId="0" borderId="0"/>
    <xf numFmtId="0" fontId="20" fillId="0" borderId="0"/>
    <xf numFmtId="0" fontId="21" fillId="0" borderId="0"/>
    <xf numFmtId="43" fontId="8" fillId="0" borderId="0" applyFont="0" applyFill="0" applyBorder="0" applyAlignment="0" applyProtection="0"/>
    <xf numFmtId="0" fontId="9" fillId="8" borderId="0" applyBorder="0">
      <protection locked="0"/>
    </xf>
    <xf numFmtId="43" fontId="17" fillId="0" borderId="0" applyFont="0" applyFill="0" applyBorder="0" applyAlignment="0" applyProtection="0"/>
    <xf numFmtId="9" fontId="17" fillId="0" borderId="0" applyFont="0" applyFill="0" applyBorder="0" applyAlignment="0" applyProtection="0"/>
    <xf numFmtId="0" fontId="7" fillId="0" borderId="0"/>
    <xf numFmtId="9" fontId="7" fillId="0" borderId="0" applyFont="0" applyFill="0" applyBorder="0" applyAlignment="0" applyProtection="0"/>
    <xf numFmtId="0" fontId="42" fillId="0" borderId="0" applyNumberFormat="0" applyFill="0" applyBorder="0" applyAlignment="0" applyProtection="0"/>
    <xf numFmtId="0" fontId="18" fillId="0" borderId="0"/>
    <xf numFmtId="0" fontId="46" fillId="0" borderId="0"/>
    <xf numFmtId="0" fontId="18" fillId="0" borderId="0"/>
    <xf numFmtId="0" fontId="46" fillId="0" borderId="0"/>
    <xf numFmtId="0" fontId="47" fillId="12" borderId="0" applyNumberFormat="0" applyBorder="0" applyAlignment="0" applyProtection="0"/>
    <xf numFmtId="43" fontId="6" fillId="0" borderId="0" applyFont="0" applyFill="0" applyBorder="0" applyAlignment="0" applyProtection="0"/>
    <xf numFmtId="0" fontId="34" fillId="13" borderId="0" applyNumberFormat="0" applyBorder="0" applyAlignment="0" applyProtection="0"/>
    <xf numFmtId="0" fontId="18" fillId="0" borderId="0"/>
    <xf numFmtId="0" fontId="6" fillId="0" borderId="0"/>
    <xf numFmtId="0" fontId="6" fillId="0" borderId="0"/>
    <xf numFmtId="0" fontId="6" fillId="0" borderId="0"/>
    <xf numFmtId="0" fontId="46" fillId="0" borderId="0"/>
    <xf numFmtId="0" fontId="6" fillId="0" borderId="0"/>
    <xf numFmtId="0" fontId="46" fillId="0" borderId="0"/>
    <xf numFmtId="0" fontId="6" fillId="0" borderId="0"/>
    <xf numFmtId="0" fontId="6" fillId="0" borderId="0"/>
    <xf numFmtId="0" fontId="6" fillId="0" borderId="0"/>
    <xf numFmtId="0" fontId="4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32" fillId="0" borderId="0"/>
    <xf numFmtId="0" fontId="18" fillId="0" borderId="0"/>
    <xf numFmtId="0" fontId="18" fillId="0" borderId="0"/>
    <xf numFmtId="9" fontId="4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9" fillId="0" borderId="0" applyFont="0" applyFill="0" applyBorder="0" applyAlignment="0" applyProtection="0"/>
    <xf numFmtId="9" fontId="6" fillId="0" borderId="0" applyFont="0" applyFill="0" applyBorder="0" applyAlignment="0" applyProtection="0"/>
    <xf numFmtId="0" fontId="34" fillId="14" borderId="0" applyBorder="0" applyAlignment="0" applyProtection="0"/>
    <xf numFmtId="0" fontId="45" fillId="0" borderId="0" applyNumberFormat="0" applyFill="0" applyBorder="0" applyAlignment="0" applyProtection="0"/>
    <xf numFmtId="0" fontId="52" fillId="17" borderId="0" applyNumberFormat="0" applyBorder="0" applyAlignment="0" applyProtection="0"/>
  </cellStyleXfs>
  <cellXfs count="678">
    <xf numFmtId="0" fontId="0" fillId="0" borderId="0" xfId="0"/>
    <xf numFmtId="0" fontId="12" fillId="2" borderId="1" xfId="4" applyAlignment="1">
      <alignment wrapText="1"/>
    </xf>
    <xf numFmtId="0" fontId="8" fillId="0" borderId="0" xfId="13"/>
    <xf numFmtId="0" fontId="12" fillId="2" borderId="1" xfId="4"/>
    <xf numFmtId="0" fontId="25" fillId="0" borderId="0" xfId="17" applyFont="1"/>
    <xf numFmtId="0" fontId="26" fillId="0" borderId="1" xfId="5" applyFont="1" applyAlignment="1">
      <alignment wrapText="1"/>
    </xf>
    <xf numFmtId="0" fontId="32" fillId="0" borderId="5" xfId="13" applyFont="1" applyBorder="1" applyAlignment="1">
      <alignment vertical="center" wrapText="1"/>
    </xf>
    <xf numFmtId="16" fontId="32" fillId="0" borderId="5" xfId="13" applyNumberFormat="1" applyFont="1" applyBorder="1" applyAlignment="1">
      <alignment vertical="center" wrapText="1"/>
    </xf>
    <xf numFmtId="17" fontId="32" fillId="0" borderId="5" xfId="13" applyNumberFormat="1" applyFont="1" applyBorder="1" applyAlignment="1">
      <alignment vertical="center" wrapText="1"/>
    </xf>
    <xf numFmtId="0" fontId="33" fillId="0" borderId="2" xfId="10" applyFont="1"/>
    <xf numFmtId="0" fontId="25" fillId="0" borderId="0" xfId="17" applyFont="1" applyAlignment="1">
      <alignment horizontal="left"/>
    </xf>
    <xf numFmtId="0" fontId="14" fillId="0" borderId="1" xfId="5" applyAlignment="1">
      <alignment wrapText="1"/>
    </xf>
    <xf numFmtId="0" fontId="17" fillId="0" borderId="0" xfId="17"/>
    <xf numFmtId="0" fontId="17" fillId="0" borderId="0" xfId="17" applyAlignment="1">
      <alignment wrapText="1"/>
    </xf>
    <xf numFmtId="0" fontId="19" fillId="0" borderId="0" xfId="17" applyFont="1"/>
    <xf numFmtId="0" fontId="9" fillId="4" borderId="5" xfId="2" applyNumberFormat="1" applyBorder="1" applyAlignment="1">
      <alignment vertical="center"/>
      <protection locked="0"/>
    </xf>
    <xf numFmtId="0" fontId="37" fillId="4" borderId="5" xfId="2" applyNumberFormat="1" applyFont="1" applyBorder="1" applyAlignment="1">
      <alignment vertical="center"/>
      <protection locked="0"/>
    </xf>
    <xf numFmtId="0" fontId="9" fillId="0" borderId="0" xfId="17" applyFont="1"/>
    <xf numFmtId="0" fontId="9" fillId="0" borderId="0" xfId="17" applyFont="1" applyAlignment="1">
      <alignment wrapText="1"/>
    </xf>
    <xf numFmtId="0" fontId="0" fillId="0" borderId="0" xfId="17" applyFont="1"/>
    <xf numFmtId="43" fontId="9" fillId="4" borderId="5" xfId="22" applyFont="1" applyFill="1" applyBorder="1" applyAlignment="1" applyProtection="1">
      <alignment vertical="center" wrapText="1"/>
      <protection locked="0"/>
    </xf>
    <xf numFmtId="43" fontId="9" fillId="4" borderId="5" xfId="22" applyFont="1" applyFill="1" applyBorder="1" applyAlignment="1" applyProtection="1">
      <alignment vertical="center"/>
      <protection locked="0"/>
    </xf>
    <xf numFmtId="43" fontId="9" fillId="0" borderId="0" xfId="22" applyFont="1" applyAlignment="1">
      <alignment wrapText="1"/>
    </xf>
    <xf numFmtId="43" fontId="9" fillId="0" borderId="0" xfId="22" applyFont="1" applyAlignment="1">
      <alignment vertical="center" wrapText="1"/>
    </xf>
    <xf numFmtId="43" fontId="38" fillId="4" borderId="5" xfId="22" applyFont="1" applyFill="1" applyBorder="1" applyAlignment="1" applyProtection="1">
      <alignment vertical="center"/>
      <protection locked="0"/>
    </xf>
    <xf numFmtId="43" fontId="37" fillId="4" borderId="5" xfId="22" applyFont="1" applyFill="1" applyBorder="1" applyAlignment="1" applyProtection="1">
      <alignment vertical="center"/>
      <protection locked="0"/>
    </xf>
    <xf numFmtId="43" fontId="9" fillId="0" borderId="0" xfId="22" applyFont="1"/>
    <xf numFmtId="43" fontId="17" fillId="0" borderId="0" xfId="22" applyFont="1"/>
    <xf numFmtId="0" fontId="19" fillId="0" borderId="0" xfId="0" applyFont="1"/>
    <xf numFmtId="0" fontId="42" fillId="0" borderId="0" xfId="26"/>
    <xf numFmtId="0" fontId="39" fillId="0" borderId="0" xfId="0" applyFont="1"/>
    <xf numFmtId="0" fontId="0" fillId="0" borderId="6" xfId="0" applyBorder="1"/>
    <xf numFmtId="0" fontId="37" fillId="4" borderId="6" xfId="2" applyNumberFormat="1" applyFont="1" applyBorder="1" applyAlignment="1">
      <alignment vertical="center"/>
      <protection locked="0"/>
    </xf>
    <xf numFmtId="43" fontId="38" fillId="4" borderId="5" xfId="22" applyFont="1" applyFill="1" applyBorder="1" applyAlignment="1" applyProtection="1">
      <alignment vertical="center" wrapText="1"/>
      <protection locked="0"/>
    </xf>
    <xf numFmtId="176" fontId="38" fillId="4" borderId="5" xfId="22" applyNumberFormat="1" applyFont="1" applyFill="1" applyBorder="1" applyAlignment="1" applyProtection="1">
      <alignment vertical="center"/>
      <protection locked="0"/>
    </xf>
    <xf numFmtId="4" fontId="38" fillId="4" borderId="5" xfId="22" applyNumberFormat="1" applyFont="1" applyFill="1" applyBorder="1" applyAlignment="1" applyProtection="1">
      <alignment vertical="center"/>
      <protection locked="0"/>
    </xf>
    <xf numFmtId="178" fontId="38" fillId="4" borderId="5" xfId="22" applyNumberFormat="1" applyFont="1" applyFill="1" applyBorder="1" applyAlignment="1" applyProtection="1">
      <alignment vertical="center" wrapText="1"/>
      <protection locked="0"/>
    </xf>
    <xf numFmtId="4" fontId="12" fillId="2" borderId="1" xfId="4" applyNumberFormat="1" applyAlignment="1">
      <alignment wrapText="1"/>
    </xf>
    <xf numFmtId="4" fontId="43" fillId="0" borderId="0" xfId="17" applyNumberFormat="1" applyFont="1" applyAlignment="1">
      <alignment horizontal="right" vertical="top"/>
    </xf>
    <xf numFmtId="4" fontId="17" fillId="0" borderId="0" xfId="17" applyNumberFormat="1" applyAlignment="1">
      <alignment wrapText="1"/>
    </xf>
    <xf numFmtId="4" fontId="9" fillId="0" borderId="0" xfId="17" applyNumberFormat="1" applyFont="1" applyAlignment="1">
      <alignment wrapText="1"/>
    </xf>
    <xf numFmtId="4" fontId="9" fillId="0" borderId="0" xfId="22" applyNumberFormat="1" applyFont="1" applyAlignment="1">
      <alignment wrapText="1"/>
    </xf>
    <xf numFmtId="4" fontId="9" fillId="0" borderId="0" xfId="22" applyNumberFormat="1" applyFont="1" applyAlignment="1">
      <alignment vertical="center" wrapText="1"/>
    </xf>
    <xf numFmtId="9" fontId="9" fillId="10" borderId="5" xfId="23" applyFont="1" applyFill="1" applyBorder="1" applyAlignment="1" applyProtection="1">
      <alignment horizontal="center" vertical="center"/>
      <protection locked="0"/>
    </xf>
    <xf numFmtId="4" fontId="9" fillId="10" borderId="5" xfId="22" applyNumberFormat="1" applyFont="1" applyFill="1" applyBorder="1" applyAlignment="1" applyProtection="1">
      <alignment vertical="center" wrapText="1"/>
      <protection locked="0"/>
    </xf>
    <xf numFmtId="0" fontId="19" fillId="15" borderId="6" xfId="0" applyFont="1" applyFill="1" applyBorder="1" applyAlignment="1">
      <alignment wrapText="1"/>
    </xf>
    <xf numFmtId="0" fontId="42" fillId="0" borderId="0" xfId="26" applyFill="1"/>
    <xf numFmtId="0" fontId="50" fillId="0" borderId="0" xfId="0" applyFont="1"/>
    <xf numFmtId="1" fontId="0" fillId="0" borderId="0" xfId="0" applyNumberFormat="1"/>
    <xf numFmtId="164" fontId="0" fillId="0" borderId="0" xfId="0" applyNumberFormat="1"/>
    <xf numFmtId="0" fontId="27" fillId="0" borderId="0" xfId="28" applyFont="1"/>
    <xf numFmtId="0" fontId="28" fillId="0" borderId="0" xfId="28" applyFont="1"/>
    <xf numFmtId="0" fontId="25" fillId="0" borderId="0" xfId="0" applyFont="1"/>
    <xf numFmtId="0" fontId="51" fillId="0" borderId="0" xfId="0" applyFont="1"/>
    <xf numFmtId="0" fontId="37" fillId="0" borderId="0" xfId="26" applyFont="1" applyFill="1" applyBorder="1" applyAlignment="1"/>
    <xf numFmtId="0" fontId="42" fillId="0" borderId="0" xfId="26" applyFill="1" applyBorder="1" applyAlignment="1"/>
    <xf numFmtId="0" fontId="38" fillId="0" borderId="0" xfId="0" applyFont="1"/>
    <xf numFmtId="182" fontId="9" fillId="4" borderId="5" xfId="22" applyNumberFormat="1" applyFont="1" applyFill="1" applyBorder="1" applyAlignment="1" applyProtection="1">
      <alignment vertical="center"/>
      <protection locked="0"/>
    </xf>
    <xf numFmtId="43" fontId="17" fillId="0" borderId="0" xfId="17" applyNumberFormat="1"/>
    <xf numFmtId="0" fontId="0" fillId="0" borderId="6" xfId="0" applyBorder="1" applyAlignment="1">
      <alignment horizontal="center" vertical="center"/>
    </xf>
    <xf numFmtId="9" fontId="9" fillId="10" borderId="6" xfId="0" applyNumberFormat="1" applyFont="1" applyFill="1" applyBorder="1" applyAlignment="1">
      <alignment horizontal="center" vertical="center"/>
    </xf>
    <xf numFmtId="173" fontId="9" fillId="10" borderId="6" xfId="0" applyNumberFormat="1" applyFont="1" applyFill="1" applyBorder="1" applyAlignment="1">
      <alignment horizontal="center" vertical="center"/>
    </xf>
    <xf numFmtId="173" fontId="0" fillId="10" borderId="6" xfId="0" applyNumberFormat="1" applyFill="1" applyBorder="1" applyAlignment="1">
      <alignment horizontal="center" vertical="center"/>
    </xf>
    <xf numFmtId="2" fontId="9" fillId="10" borderId="6" xfId="0" applyNumberFormat="1" applyFont="1" applyFill="1" applyBorder="1" applyAlignment="1">
      <alignment horizontal="center" vertical="center"/>
    </xf>
    <xf numFmtId="0" fontId="44" fillId="0" borderId="6" xfId="26" applyFont="1" applyFill="1" applyBorder="1" applyAlignment="1">
      <alignment vertical="center"/>
    </xf>
    <xf numFmtId="0" fontId="0" fillId="0" borderId="0" xfId="0" applyAlignment="1">
      <alignment vertical="center"/>
    </xf>
    <xf numFmtId="43" fontId="9" fillId="4" borderId="21" xfId="22" applyFont="1" applyFill="1" applyBorder="1" applyAlignment="1" applyProtection="1">
      <alignment vertical="center"/>
      <protection locked="0"/>
    </xf>
    <xf numFmtId="0" fontId="37" fillId="4" borderId="22" xfId="2" applyNumberFormat="1" applyFont="1" applyBorder="1" applyAlignment="1">
      <alignment vertical="center"/>
      <protection locked="0"/>
    </xf>
    <xf numFmtId="43" fontId="9" fillId="4" borderId="22" xfId="22" applyFont="1" applyFill="1" applyBorder="1" applyAlignment="1" applyProtection="1">
      <alignment vertical="center"/>
      <protection locked="0"/>
    </xf>
    <xf numFmtId="43" fontId="9" fillId="4" borderId="22" xfId="22" applyFont="1" applyFill="1" applyBorder="1" applyAlignment="1" applyProtection="1">
      <alignment vertical="center" wrapText="1"/>
      <protection locked="0"/>
    </xf>
    <xf numFmtId="4" fontId="9" fillId="10" borderId="22" xfId="22" applyNumberFormat="1" applyFont="1" applyFill="1" applyBorder="1" applyAlignment="1" applyProtection="1">
      <alignment vertical="center" wrapText="1"/>
      <protection locked="0"/>
    </xf>
    <xf numFmtId="0" fontId="37" fillId="0" borderId="0" xfId="2" applyNumberFormat="1" applyFont="1" applyFill="1" applyBorder="1" applyAlignment="1">
      <alignment vertical="center"/>
      <protection locked="0"/>
    </xf>
    <xf numFmtId="0" fontId="9" fillId="0" borderId="0" xfId="2" applyNumberFormat="1" applyFill="1" applyBorder="1" applyAlignment="1">
      <alignment vertical="center"/>
      <protection locked="0"/>
    </xf>
    <xf numFmtId="43" fontId="9" fillId="0" borderId="0" xfId="22" applyFont="1" applyFill="1" applyBorder="1" applyAlignment="1" applyProtection="1">
      <alignment vertical="center"/>
      <protection locked="0"/>
    </xf>
    <xf numFmtId="43" fontId="9" fillId="0" borderId="0" xfId="22" applyFont="1" applyFill="1" applyBorder="1" applyAlignment="1" applyProtection="1">
      <alignment vertical="center" wrapText="1"/>
      <protection locked="0"/>
    </xf>
    <xf numFmtId="178" fontId="38" fillId="0" borderId="0" xfId="22" applyNumberFormat="1" applyFont="1" applyFill="1" applyBorder="1" applyAlignment="1" applyProtection="1">
      <alignment vertical="center" wrapText="1"/>
      <protection locked="0"/>
    </xf>
    <xf numFmtId="4" fontId="9" fillId="0" borderId="0" xfId="22" applyNumberFormat="1" applyFont="1" applyFill="1" applyBorder="1" applyAlignment="1" applyProtection="1">
      <alignment vertical="center" wrapText="1"/>
      <protection locked="0"/>
    </xf>
    <xf numFmtId="43" fontId="37" fillId="0" borderId="0" xfId="22" applyFont="1" applyFill="1" applyBorder="1" applyAlignment="1" applyProtection="1">
      <alignment vertical="center"/>
      <protection locked="0"/>
    </xf>
    <xf numFmtId="4" fontId="38" fillId="0" borderId="0" xfId="22" applyNumberFormat="1" applyFont="1" applyFill="1" applyBorder="1" applyAlignment="1" applyProtection="1">
      <alignment vertical="center" wrapText="1"/>
      <protection locked="0"/>
    </xf>
    <xf numFmtId="43" fontId="38" fillId="0" borderId="0" xfId="22" applyFont="1" applyFill="1" applyBorder="1" applyAlignment="1" applyProtection="1">
      <alignment vertical="center"/>
      <protection locked="0"/>
    </xf>
    <xf numFmtId="0" fontId="58" fillId="0" borderId="0" xfId="0" applyFont="1"/>
    <xf numFmtId="0" fontId="37" fillId="0" borderId="0" xfId="2" applyNumberFormat="1" applyFont="1" applyFill="1" applyAlignment="1">
      <alignment vertical="center"/>
      <protection locked="0"/>
    </xf>
    <xf numFmtId="43" fontId="9" fillId="0" borderId="0" xfId="22" applyFont="1" applyAlignment="1" applyProtection="1">
      <alignment vertical="center"/>
      <protection locked="0"/>
    </xf>
    <xf numFmtId="0" fontId="56" fillId="0" borderId="0" xfId="0" applyFont="1" applyAlignment="1">
      <alignment vertical="center"/>
    </xf>
    <xf numFmtId="0" fontId="0" fillId="0" borderId="0" xfId="0" applyAlignment="1">
      <alignment wrapText="1"/>
    </xf>
    <xf numFmtId="181" fontId="38" fillId="4" borderId="5" xfId="22" applyNumberFormat="1" applyFont="1" applyFill="1" applyBorder="1" applyAlignment="1" applyProtection="1">
      <alignment vertical="center"/>
      <protection locked="0"/>
    </xf>
    <xf numFmtId="0" fontId="37" fillId="0" borderId="0" xfId="17" applyFont="1"/>
    <xf numFmtId="43" fontId="37" fillId="0" borderId="0" xfId="22" applyFont="1"/>
    <xf numFmtId="43" fontId="19" fillId="0" borderId="0" xfId="22" applyFont="1"/>
    <xf numFmtId="43" fontId="37" fillId="0" borderId="0" xfId="22" applyFont="1" applyAlignment="1">
      <alignment wrapText="1"/>
    </xf>
    <xf numFmtId="4" fontId="37" fillId="0" borderId="0" xfId="22" applyNumberFormat="1" applyFont="1" applyAlignment="1">
      <alignment wrapText="1"/>
    </xf>
    <xf numFmtId="179" fontId="9" fillId="10" borderId="5" xfId="2" applyNumberFormat="1" applyFill="1" applyBorder="1" applyAlignment="1">
      <alignment horizontal="center" vertical="center"/>
      <protection locked="0"/>
    </xf>
    <xf numFmtId="0" fontId="37" fillId="0" borderId="0" xfId="0" applyFont="1"/>
    <xf numFmtId="4" fontId="0" fillId="0" borderId="0" xfId="0" applyNumberFormat="1"/>
    <xf numFmtId="0" fontId="38" fillId="0" borderId="0" xfId="17" applyFont="1"/>
    <xf numFmtId="174" fontId="38" fillId="0" borderId="0" xfId="17" applyNumberFormat="1" applyFont="1"/>
    <xf numFmtId="0" fontId="44" fillId="0" borderId="6" xfId="26" applyFont="1" applyBorder="1" applyAlignment="1">
      <alignment vertical="center"/>
    </xf>
    <xf numFmtId="0" fontId="44" fillId="0" borderId="0" xfId="26" applyFont="1" applyFill="1" applyBorder="1" applyAlignment="1">
      <alignment horizontal="left" vertical="center" wrapText="1"/>
    </xf>
    <xf numFmtId="0" fontId="44" fillId="0" borderId="0" xfId="26" applyFont="1" applyFill="1" applyBorder="1" applyAlignment="1">
      <alignment vertical="center"/>
    </xf>
    <xf numFmtId="0" fontId="44" fillId="0" borderId="9" xfId="26" applyFont="1" applyFill="1" applyBorder="1" applyAlignment="1">
      <alignment vertical="center"/>
    </xf>
    <xf numFmtId="0" fontId="70" fillId="16" borderId="6" xfId="26" applyFont="1" applyFill="1" applyBorder="1" applyAlignment="1">
      <alignment vertical="center"/>
    </xf>
    <xf numFmtId="0" fontId="63" fillId="0" borderId="0" xfId="0" applyFont="1" applyAlignment="1">
      <alignment vertical="center"/>
    </xf>
    <xf numFmtId="9" fontId="62" fillId="0" borderId="6" xfId="0" applyNumberFormat="1" applyFont="1" applyBorder="1" applyAlignment="1">
      <alignment horizontal="center"/>
    </xf>
    <xf numFmtId="0" fontId="71" fillId="0" borderId="0" xfId="0" applyFont="1"/>
    <xf numFmtId="0" fontId="63" fillId="0" borderId="0" xfId="0" applyFont="1"/>
    <xf numFmtId="173" fontId="71" fillId="16" borderId="6" xfId="0" applyNumberFormat="1" applyFont="1" applyFill="1" applyBorder="1" applyAlignment="1">
      <alignment horizontal="center"/>
    </xf>
    <xf numFmtId="173" fontId="71" fillId="0" borderId="6" xfId="0" applyNumberFormat="1" applyFont="1" applyBorder="1" applyAlignment="1">
      <alignment horizontal="center"/>
    </xf>
    <xf numFmtId="0" fontId="72" fillId="0" borderId="0" xfId="0" applyFont="1" applyAlignment="1">
      <alignment vertical="center"/>
    </xf>
    <xf numFmtId="0" fontId="72" fillId="0" borderId="0" xfId="0" applyFont="1"/>
    <xf numFmtId="0" fontId="69" fillId="15" borderId="6" xfId="0" applyFont="1" applyFill="1" applyBorder="1" applyAlignment="1">
      <alignment wrapText="1"/>
    </xf>
    <xf numFmtId="4" fontId="17" fillId="0" borderId="0" xfId="17" applyNumberFormat="1"/>
    <xf numFmtId="2" fontId="19" fillId="0" borderId="0" xfId="0" applyNumberFormat="1" applyFont="1"/>
    <xf numFmtId="0" fontId="9" fillId="9" borderId="5" xfId="2" applyNumberFormat="1" applyFill="1" applyBorder="1" applyAlignment="1">
      <alignment vertical="center"/>
      <protection locked="0"/>
    </xf>
    <xf numFmtId="43" fontId="38" fillId="9" borderId="5" xfId="22" applyFont="1" applyFill="1" applyBorder="1" applyAlignment="1" applyProtection="1">
      <alignment vertical="center"/>
      <protection locked="0"/>
    </xf>
    <xf numFmtId="43" fontId="9" fillId="9" borderId="5" xfId="22" applyFont="1" applyFill="1" applyBorder="1" applyAlignment="1" applyProtection="1">
      <alignment vertical="center"/>
      <protection locked="0"/>
    </xf>
    <xf numFmtId="1" fontId="38" fillId="0" borderId="0" xfId="0" applyNumberFormat="1" applyFont="1"/>
    <xf numFmtId="4" fontId="19" fillId="0" borderId="0" xfId="17" applyNumberFormat="1" applyFont="1"/>
    <xf numFmtId="4" fontId="0" fillId="0" borderId="0" xfId="17" applyNumberFormat="1" applyFont="1"/>
    <xf numFmtId="2" fontId="63" fillId="0" borderId="0" xfId="0" applyNumberFormat="1" applyFont="1"/>
    <xf numFmtId="0" fontId="32" fillId="0" borderId="0" xfId="14" applyFont="1"/>
    <xf numFmtId="0" fontId="26" fillId="0" borderId="2" xfId="10" applyFont="1"/>
    <xf numFmtId="0" fontId="68" fillId="0" borderId="0" xfId="0" applyFont="1"/>
    <xf numFmtId="0" fontId="9" fillId="0" borderId="0" xfId="3" applyNumberFormat="1" applyFill="1"/>
    <xf numFmtId="0" fontId="9" fillId="0" borderId="0" xfId="1" applyNumberFormat="1" applyFill="1"/>
    <xf numFmtId="164" fontId="9" fillId="0" borderId="0" xfId="3" applyNumberFormat="1" applyFill="1"/>
    <xf numFmtId="164" fontId="37" fillId="0" borderId="0" xfId="0" applyNumberFormat="1" applyFont="1"/>
    <xf numFmtId="4" fontId="0" fillId="0" borderId="0" xfId="22" applyNumberFormat="1" applyFont="1" applyFill="1"/>
    <xf numFmtId="4" fontId="19" fillId="0" borderId="0" xfId="0" applyNumberFormat="1" applyFont="1"/>
    <xf numFmtId="3" fontId="0" fillId="0" borderId="0" xfId="0" applyNumberFormat="1"/>
    <xf numFmtId="4" fontId="0" fillId="0" borderId="0" xfId="17" applyNumberFormat="1" applyFont="1" applyAlignment="1">
      <alignment wrapText="1"/>
    </xf>
    <xf numFmtId="0" fontId="0" fillId="0" borderId="0" xfId="17" applyFont="1" applyAlignment="1">
      <alignment wrapText="1"/>
    </xf>
    <xf numFmtId="0" fontId="9" fillId="0" borderId="0" xfId="19" applyFont="1"/>
    <xf numFmtId="0" fontId="62" fillId="0" borderId="0" xfId="19" applyFont="1"/>
    <xf numFmtId="0" fontId="32" fillId="0" borderId="0" xfId="19" applyFont="1"/>
    <xf numFmtId="0" fontId="26" fillId="0" borderId="0" xfId="5" applyFont="1" applyBorder="1" applyAlignment="1">
      <alignment wrapText="1"/>
    </xf>
    <xf numFmtId="0" fontId="25" fillId="3" borderId="6" xfId="17" applyFont="1" applyFill="1" applyBorder="1"/>
    <xf numFmtId="0" fontId="76" fillId="0" borderId="0" xfId="17" applyFont="1"/>
    <xf numFmtId="0" fontId="37" fillId="4" borderId="6" xfId="2" applyNumberFormat="1" applyFont="1" applyBorder="1" applyAlignment="1">
      <alignment horizontal="right" vertical="center"/>
      <protection locked="0"/>
    </xf>
    <xf numFmtId="0" fontId="37" fillId="10" borderId="6" xfId="2" applyNumberFormat="1" applyFont="1" applyFill="1" applyBorder="1" applyAlignment="1">
      <alignment horizontal="right" vertical="center"/>
      <protection locked="0"/>
    </xf>
    <xf numFmtId="4" fontId="0" fillId="0" borderId="0" xfId="22" applyNumberFormat="1" applyFont="1"/>
    <xf numFmtId="4" fontId="9" fillId="0" borderId="0" xfId="1" applyNumberFormat="1" applyFill="1"/>
    <xf numFmtId="0" fontId="25" fillId="9" borderId="5" xfId="17" applyFont="1" applyFill="1" applyBorder="1" applyAlignment="1">
      <alignment horizontal="left"/>
    </xf>
    <xf numFmtId="0" fontId="0" fillId="0" borderId="0" xfId="0" applyAlignment="1">
      <alignment horizontal="center"/>
    </xf>
    <xf numFmtId="4" fontId="9" fillId="0" borderId="0" xfId="22" applyNumberFormat="1" applyFont="1" applyAlignment="1"/>
    <xf numFmtId="4" fontId="9" fillId="0" borderId="0" xfId="17" applyNumberFormat="1" applyFont="1"/>
    <xf numFmtId="4" fontId="9" fillId="0" borderId="0" xfId="22" applyNumberFormat="1" applyFont="1" applyAlignment="1">
      <alignment vertical="center"/>
    </xf>
    <xf numFmtId="4" fontId="9" fillId="0" borderId="0" xfId="22" applyNumberFormat="1" applyFont="1" applyFill="1" applyBorder="1" applyAlignment="1" applyProtection="1">
      <alignment vertical="center"/>
      <protection locked="0"/>
    </xf>
    <xf numFmtId="4" fontId="37" fillId="0" borderId="0" xfId="22" applyNumberFormat="1" applyFont="1" applyAlignment="1"/>
    <xf numFmtId="0" fontId="37" fillId="26" borderId="6" xfId="2" applyNumberFormat="1" applyFont="1" applyFill="1" applyBorder="1" applyAlignment="1">
      <alignment horizontal="right" vertical="center"/>
      <protection locked="0"/>
    </xf>
    <xf numFmtId="0" fontId="14" fillId="15" borderId="0" xfId="10" applyFont="1" applyFill="1" applyBorder="1" applyAlignment="1">
      <alignment vertical="center"/>
    </xf>
    <xf numFmtId="0" fontId="37" fillId="15" borderId="0" xfId="2" applyNumberFormat="1" applyFont="1" applyFill="1" applyBorder="1" applyAlignment="1">
      <alignment vertical="center"/>
      <protection locked="0"/>
    </xf>
    <xf numFmtId="4" fontId="57" fillId="15" borderId="0" xfId="22" applyNumberFormat="1" applyFont="1" applyFill="1" applyBorder="1" applyAlignment="1" applyProtection="1">
      <alignment vertical="center" wrapText="1"/>
      <protection locked="0"/>
    </xf>
    <xf numFmtId="43" fontId="57" fillId="15" borderId="0" xfId="22" applyFont="1" applyFill="1" applyBorder="1" applyAlignment="1" applyProtection="1">
      <alignment vertical="center"/>
      <protection locked="0"/>
    </xf>
    <xf numFmtId="43" fontId="37" fillId="15" borderId="0" xfId="22" applyFont="1" applyFill="1" applyBorder="1" applyAlignment="1" applyProtection="1">
      <alignment vertical="center"/>
      <protection locked="0"/>
    </xf>
    <xf numFmtId="43" fontId="37" fillId="15" borderId="0" xfId="22" applyFont="1" applyFill="1" applyBorder="1" applyAlignment="1" applyProtection="1">
      <alignment vertical="center" wrapText="1"/>
      <protection locked="0"/>
    </xf>
    <xf numFmtId="43" fontId="37" fillId="15" borderId="0" xfId="22" applyFont="1" applyFill="1" applyAlignment="1" applyProtection="1">
      <alignment vertical="center" wrapText="1"/>
      <protection locked="0"/>
    </xf>
    <xf numFmtId="0" fontId="19" fillId="15" borderId="0" xfId="17" applyFont="1" applyFill="1"/>
    <xf numFmtId="4" fontId="19" fillId="15" borderId="6" xfId="17" applyNumberFormat="1" applyFont="1" applyFill="1" applyBorder="1" applyAlignment="1">
      <alignment wrapText="1"/>
    </xf>
    <xf numFmtId="0" fontId="9" fillId="15" borderId="0" xfId="2" applyNumberFormat="1" applyFill="1" applyBorder="1" applyAlignment="1">
      <alignment vertical="center"/>
      <protection locked="0"/>
    </xf>
    <xf numFmtId="43" fontId="9" fillId="15" borderId="0" xfId="22" applyFont="1" applyFill="1" applyBorder="1" applyAlignment="1" applyProtection="1">
      <alignment vertical="center"/>
      <protection locked="0"/>
    </xf>
    <xf numFmtId="43" fontId="9" fillId="15" borderId="0" xfId="22" applyFont="1" applyFill="1" applyBorder="1" applyAlignment="1" applyProtection="1">
      <alignment vertical="center" wrapText="1"/>
      <protection locked="0"/>
    </xf>
    <xf numFmtId="178" fontId="38" fillId="15" borderId="0" xfId="22" applyNumberFormat="1" applyFont="1" applyFill="1" applyBorder="1" applyAlignment="1" applyProtection="1">
      <alignment vertical="center" wrapText="1"/>
      <protection locked="0"/>
    </xf>
    <xf numFmtId="0" fontId="17" fillId="15" borderId="0" xfId="17" applyFill="1"/>
    <xf numFmtId="0" fontId="37" fillId="15" borderId="0" xfId="17" applyFont="1" applyFill="1" applyAlignment="1">
      <alignment vertical="center" wrapText="1"/>
    </xf>
    <xf numFmtId="43" fontId="37" fillId="15" borderId="0" xfId="22" applyFont="1" applyFill="1" applyAlignment="1">
      <alignment vertical="center" wrapText="1"/>
    </xf>
    <xf numFmtId="43" fontId="19" fillId="15" borderId="0" xfId="22" applyFont="1" applyFill="1" applyAlignment="1">
      <alignment vertical="center" wrapText="1"/>
    </xf>
    <xf numFmtId="0" fontId="19" fillId="15" borderId="0" xfId="0" applyFont="1" applyFill="1"/>
    <xf numFmtId="0" fontId="19" fillId="15" borderId="0" xfId="17" applyFont="1" applyFill="1" applyAlignment="1">
      <alignment vertical="center" wrapText="1"/>
    </xf>
    <xf numFmtId="173" fontId="79" fillId="3" borderId="6" xfId="0" applyNumberFormat="1" applyFont="1" applyFill="1" applyBorder="1" applyAlignment="1">
      <alignment horizontal="center" vertical="center"/>
    </xf>
    <xf numFmtId="4" fontId="9" fillId="0" borderId="6" xfId="0" applyNumberFormat="1" applyFont="1" applyBorder="1" applyAlignment="1">
      <alignment horizontal="center"/>
    </xf>
    <xf numFmtId="0" fontId="32" fillId="0" borderId="6" xfId="0" applyFont="1" applyBorder="1"/>
    <xf numFmtId="0" fontId="9" fillId="0" borderId="6" xfId="0" applyFont="1" applyBorder="1"/>
    <xf numFmtId="4" fontId="32" fillId="0" borderId="6" xfId="0" applyNumberFormat="1" applyFont="1" applyBorder="1"/>
    <xf numFmtId="2" fontId="9" fillId="10" borderId="6" xfId="0" applyNumberFormat="1" applyFont="1" applyFill="1" applyBorder="1" applyAlignment="1">
      <alignment horizontal="center"/>
    </xf>
    <xf numFmtId="4" fontId="0" fillId="10" borderId="6" xfId="0" applyNumberFormat="1" applyFill="1" applyBorder="1" applyAlignment="1">
      <alignment horizontal="center" vertical="center"/>
    </xf>
    <xf numFmtId="4" fontId="19" fillId="15" borderId="6" xfId="17" applyNumberFormat="1" applyFont="1" applyFill="1" applyBorder="1"/>
    <xf numFmtId="4" fontId="19" fillId="27" borderId="6" xfId="17" applyNumberFormat="1" applyFont="1" applyFill="1" applyBorder="1" applyAlignment="1">
      <alignment wrapText="1"/>
    </xf>
    <xf numFmtId="43" fontId="0" fillId="0" borderId="0" xfId="0" applyNumberFormat="1"/>
    <xf numFmtId="0" fontId="81" fillId="3" borderId="9" xfId="0" applyFont="1" applyFill="1" applyBorder="1" applyAlignment="1">
      <alignment horizontal="center" wrapText="1"/>
    </xf>
    <xf numFmtId="0" fontId="81" fillId="3" borderId="6" xfId="0" applyFont="1" applyFill="1" applyBorder="1" applyAlignment="1">
      <alignment horizontal="center" wrapText="1"/>
    </xf>
    <xf numFmtId="0" fontId="14" fillId="0" borderId="1" xfId="5"/>
    <xf numFmtId="0" fontId="13" fillId="0" borderId="2" xfId="10"/>
    <xf numFmtId="0" fontId="0" fillId="0" borderId="0" xfId="0" applyAlignment="1">
      <alignment horizontal="left"/>
    </xf>
    <xf numFmtId="0" fontId="9" fillId="26" borderId="5" xfId="2" applyNumberFormat="1" applyFill="1" applyBorder="1" applyAlignment="1">
      <alignment vertical="center"/>
      <protection locked="0"/>
    </xf>
    <xf numFmtId="0" fontId="9" fillId="26" borderId="22" xfId="2" applyNumberFormat="1" applyFill="1" applyBorder="1" applyAlignment="1">
      <alignment vertical="center"/>
      <protection locked="0"/>
    </xf>
    <xf numFmtId="0" fontId="9" fillId="26" borderId="6" xfId="2" applyNumberFormat="1" applyFill="1" applyBorder="1" applyAlignment="1">
      <alignment vertical="center"/>
      <protection locked="0"/>
    </xf>
    <xf numFmtId="0" fontId="85" fillId="11" borderId="6" xfId="26" applyFont="1" applyFill="1" applyBorder="1" applyAlignment="1"/>
    <xf numFmtId="0" fontId="85" fillId="11" borderId="6" xfId="26" applyFont="1" applyFill="1" applyBorder="1"/>
    <xf numFmtId="0" fontId="38" fillId="4" borderId="5" xfId="2" applyNumberFormat="1" applyFont="1" applyBorder="1" applyAlignment="1">
      <alignment vertical="center"/>
      <protection locked="0"/>
    </xf>
    <xf numFmtId="0" fontId="87" fillId="9" borderId="5" xfId="2" applyNumberFormat="1" applyFont="1" applyFill="1" applyBorder="1" applyAlignment="1">
      <alignment vertical="center"/>
      <protection locked="0"/>
    </xf>
    <xf numFmtId="0" fontId="57" fillId="4" borderId="5" xfId="2" applyNumberFormat="1" applyFont="1" applyBorder="1" applyAlignment="1">
      <alignment vertical="center"/>
      <protection locked="0"/>
    </xf>
    <xf numFmtId="0" fontId="57" fillId="4" borderId="22" xfId="2" applyNumberFormat="1" applyFont="1" applyBorder="1" applyAlignment="1">
      <alignment vertical="center"/>
      <protection locked="0"/>
    </xf>
    <xf numFmtId="0" fontId="56" fillId="0" borderId="0" xfId="17" applyFont="1"/>
    <xf numFmtId="0" fontId="80" fillId="15" borderId="0" xfId="0" applyFont="1" applyFill="1"/>
    <xf numFmtId="0" fontId="0" fillId="9" borderId="0" xfId="0" applyFill="1"/>
    <xf numFmtId="0" fontId="61" fillId="9" borderId="0" xfId="0" applyFont="1" applyFill="1" applyAlignment="1">
      <alignment vertical="top"/>
    </xf>
    <xf numFmtId="0" fontId="19" fillId="9" borderId="0" xfId="0" applyFont="1" applyFill="1" applyAlignment="1">
      <alignment vertical="top"/>
    </xf>
    <xf numFmtId="0" fontId="40" fillId="9" borderId="0" xfId="0" applyFont="1" applyFill="1" applyAlignment="1">
      <alignment horizontal="left" vertical="top" wrapText="1"/>
    </xf>
    <xf numFmtId="0" fontId="41" fillId="9" borderId="0" xfId="0" applyFont="1" applyFill="1"/>
    <xf numFmtId="177" fontId="0" fillId="9" borderId="0" xfId="0" quotePrefix="1" applyNumberFormat="1" applyFill="1" applyAlignment="1">
      <alignment horizontal="left"/>
    </xf>
    <xf numFmtId="0" fontId="69" fillId="15" borderId="11" xfId="0" applyFont="1" applyFill="1" applyBorder="1"/>
    <xf numFmtId="0" fontId="41" fillId="15" borderId="12" xfId="0" applyFont="1" applyFill="1" applyBorder="1"/>
    <xf numFmtId="177" fontId="0" fillId="15" borderId="13" xfId="0" quotePrefix="1" applyNumberFormat="1" applyFill="1" applyBorder="1" applyAlignment="1">
      <alignment horizontal="left"/>
    </xf>
    <xf numFmtId="0" fontId="37" fillId="9" borderId="14" xfId="2" applyNumberFormat="1" applyFont="1" applyFill="1" applyBorder="1" applyAlignment="1" applyProtection="1">
      <alignment vertical="center"/>
    </xf>
    <xf numFmtId="0" fontId="37" fillId="9" borderId="17" xfId="2" applyNumberFormat="1" applyFont="1" applyFill="1" applyBorder="1" applyAlignment="1" applyProtection="1">
      <alignment vertical="center"/>
    </xf>
    <xf numFmtId="0" fontId="0" fillId="0" borderId="0" xfId="0" applyAlignment="1">
      <alignment horizontal="right" vertical="center"/>
    </xf>
    <xf numFmtId="0" fontId="37" fillId="9" borderId="0" xfId="2" applyNumberFormat="1" applyFont="1" applyFill="1" applyBorder="1" applyAlignment="1" applyProtection="1">
      <alignment vertical="center"/>
    </xf>
    <xf numFmtId="0" fontId="69" fillId="15" borderId="11" xfId="0" applyFont="1" applyFill="1" applyBorder="1" applyAlignment="1">
      <alignment horizontal="left"/>
    </xf>
    <xf numFmtId="0" fontId="0" fillId="15" borderId="12" xfId="0" applyFill="1" applyBorder="1" applyAlignment="1">
      <alignment horizontal="left"/>
    </xf>
    <xf numFmtId="0" fontId="37" fillId="15" borderId="13" xfId="2" applyNumberFormat="1" applyFont="1" applyFill="1" applyBorder="1" applyAlignment="1" applyProtection="1">
      <alignment vertical="center"/>
    </xf>
    <xf numFmtId="0" fontId="37" fillId="9" borderId="0" xfId="2" applyNumberFormat="1" applyFont="1" applyFill="1" applyBorder="1" applyAlignment="1" applyProtection="1">
      <alignment horizontal="right" vertical="center"/>
    </xf>
    <xf numFmtId="0" fontId="37" fillId="15" borderId="9" xfId="2" applyNumberFormat="1" applyFont="1" applyFill="1" applyBorder="1" applyAlignment="1" applyProtection="1">
      <alignment horizontal="right" vertical="center"/>
    </xf>
    <xf numFmtId="0" fontId="37" fillId="9" borderId="19" xfId="2" applyNumberFormat="1" applyFont="1" applyFill="1" applyBorder="1" applyAlignment="1" applyProtection="1">
      <alignment vertical="center"/>
    </xf>
    <xf numFmtId="0" fontId="19" fillId="9" borderId="0" xfId="0" applyFont="1" applyFill="1" applyAlignment="1">
      <alignment horizontal="right" vertical="center"/>
    </xf>
    <xf numFmtId="0" fontId="69" fillId="15" borderId="11" xfId="0" applyFont="1" applyFill="1" applyBorder="1" applyAlignment="1">
      <alignment horizontal="left" vertical="top"/>
    </xf>
    <xf numFmtId="0" fontId="0" fillId="15" borderId="12" xfId="0" applyFill="1" applyBorder="1" applyAlignment="1">
      <alignment horizontal="left" vertical="top"/>
    </xf>
    <xf numFmtId="0" fontId="19" fillId="15" borderId="13" xfId="0" applyFont="1" applyFill="1" applyBorder="1" applyAlignment="1">
      <alignment horizontal="left" vertical="top"/>
    </xf>
    <xf numFmtId="0" fontId="0" fillId="9" borderId="0" xfId="0" applyFill="1" applyAlignment="1">
      <alignment horizontal="right" vertical="center" wrapText="1"/>
    </xf>
    <xf numFmtId="0" fontId="37" fillId="9" borderId="0" xfId="2" applyNumberFormat="1" applyFont="1" applyFill="1" applyAlignment="1" applyProtection="1">
      <alignment vertical="center"/>
    </xf>
    <xf numFmtId="0" fontId="40" fillId="15" borderId="12" xfId="0" applyFont="1" applyFill="1" applyBorder="1" applyAlignment="1">
      <alignment horizontal="left" vertical="top"/>
    </xf>
    <xf numFmtId="0" fontId="19" fillId="15" borderId="12" xfId="0" applyFont="1" applyFill="1" applyBorder="1" applyAlignment="1">
      <alignment horizontal="right" vertical="center"/>
    </xf>
    <xf numFmtId="0" fontId="0" fillId="9" borderId="7" xfId="0" applyFill="1" applyBorder="1" applyAlignment="1">
      <alignment horizontal="left" vertical="top"/>
    </xf>
    <xf numFmtId="0" fontId="19" fillId="0" borderId="14" xfId="0" applyFont="1" applyBorder="1" applyAlignment="1">
      <alignment horizontal="left" vertical="top"/>
    </xf>
    <xf numFmtId="0" fontId="12" fillId="9" borderId="0" xfId="0" applyFont="1" applyFill="1" applyAlignment="1">
      <alignment vertical="center" wrapText="1"/>
    </xf>
    <xf numFmtId="0" fontId="0" fillId="9" borderId="7" xfId="0" applyFill="1" applyBorder="1"/>
    <xf numFmtId="0" fontId="53" fillId="9" borderId="0" xfId="0" applyFont="1" applyFill="1"/>
    <xf numFmtId="0" fontId="0" fillId="9" borderId="0" xfId="0" applyFill="1" applyAlignment="1">
      <alignment horizontal="right" vertical="center"/>
    </xf>
    <xf numFmtId="0" fontId="0" fillId="15" borderId="12" xfId="0" applyFill="1" applyBorder="1" applyAlignment="1">
      <alignment horizontal="right" vertical="center"/>
    </xf>
    <xf numFmtId="0" fontId="0" fillId="15" borderId="13" xfId="0" applyFill="1" applyBorder="1"/>
    <xf numFmtId="0" fontId="12" fillId="9" borderId="0" xfId="0" applyFont="1" applyFill="1" applyAlignment="1">
      <alignment horizontal="center" vertical="center" wrapText="1"/>
    </xf>
    <xf numFmtId="0" fontId="53" fillId="9" borderId="16" xfId="0" applyFont="1" applyFill="1" applyBorder="1" applyAlignment="1">
      <alignment horizontal="left" vertical="top" wrapText="1"/>
    </xf>
    <xf numFmtId="0" fontId="37" fillId="9" borderId="20" xfId="2" applyNumberFormat="1" applyFont="1" applyFill="1" applyBorder="1" applyAlignment="1" applyProtection="1">
      <alignment vertical="center"/>
    </xf>
    <xf numFmtId="0" fontId="19" fillId="9" borderId="0" xfId="0" applyFont="1" applyFill="1" applyAlignment="1">
      <alignment horizontal="left"/>
    </xf>
    <xf numFmtId="0" fontId="19" fillId="15" borderId="13" xfId="0" applyFont="1" applyFill="1" applyBorder="1" applyAlignment="1">
      <alignment horizontal="left"/>
    </xf>
    <xf numFmtId="0" fontId="19" fillId="9" borderId="14" xfId="0" applyFont="1" applyFill="1" applyBorder="1" applyAlignment="1">
      <alignment horizontal="left"/>
    </xf>
    <xf numFmtId="0" fontId="0" fillId="9" borderId="7" xfId="0" applyFill="1" applyBorder="1" applyAlignment="1">
      <alignment horizontal="left"/>
    </xf>
    <xf numFmtId="0" fontId="37" fillId="15" borderId="12" xfId="2" applyNumberFormat="1" applyFont="1" applyFill="1" applyBorder="1" applyAlignment="1" applyProtection="1">
      <alignment horizontal="right" vertical="center"/>
    </xf>
    <xf numFmtId="0" fontId="19" fillId="9" borderId="0" xfId="0" applyFont="1" applyFill="1" applyAlignment="1">
      <alignment horizontal="left" vertical="top" wrapText="1"/>
    </xf>
    <xf numFmtId="0" fontId="77" fillId="9" borderId="0" xfId="0" applyFont="1" applyFill="1" applyAlignment="1">
      <alignment vertical="top"/>
    </xf>
    <xf numFmtId="0" fontId="63" fillId="9" borderId="0" xfId="0" applyFont="1" applyFill="1"/>
    <xf numFmtId="0" fontId="63" fillId="9" borderId="0" xfId="0" applyFont="1" applyFill="1" applyAlignment="1">
      <alignment vertical="top" wrapText="1"/>
    </xf>
    <xf numFmtId="0" fontId="37" fillId="26" borderId="18" xfId="2" applyNumberFormat="1" applyFont="1" applyFill="1" applyBorder="1" applyAlignment="1">
      <alignment horizontal="right" vertical="center"/>
      <protection locked="0"/>
    </xf>
    <xf numFmtId="9" fontId="37" fillId="4" borderId="6" xfId="2" applyNumberFormat="1" applyFont="1" applyBorder="1" applyAlignment="1">
      <alignment horizontal="right" vertical="center"/>
      <protection locked="0"/>
    </xf>
    <xf numFmtId="4" fontId="37" fillId="4" borderId="19" xfId="2" applyNumberFormat="1" applyFont="1" applyBorder="1" applyAlignment="1">
      <alignment horizontal="right" vertical="center"/>
      <protection locked="0"/>
    </xf>
    <xf numFmtId="180" fontId="37" fillId="4" borderId="6" xfId="2" applyNumberFormat="1" applyFont="1" applyBorder="1" applyAlignment="1">
      <alignment horizontal="right" vertical="center"/>
      <protection locked="0"/>
    </xf>
    <xf numFmtId="180" fontId="37" fillId="26" borderId="18" xfId="2" applyNumberFormat="1" applyFont="1" applyFill="1" applyBorder="1" applyAlignment="1">
      <alignment horizontal="right" vertical="center"/>
      <protection locked="0"/>
    </xf>
    <xf numFmtId="180" fontId="37" fillId="4" borderId="18" xfId="2" applyNumberFormat="1" applyFont="1" applyBorder="1" applyAlignment="1">
      <alignment horizontal="right" vertical="center"/>
      <protection locked="0"/>
    </xf>
    <xf numFmtId="4" fontId="9" fillId="10" borderId="5" xfId="22" applyNumberFormat="1" applyFont="1" applyFill="1" applyBorder="1" applyAlignment="1" applyProtection="1">
      <alignment vertical="center" wrapText="1"/>
    </xf>
    <xf numFmtId="4" fontId="9" fillId="10" borderId="22" xfId="22" applyNumberFormat="1" applyFont="1" applyFill="1" applyBorder="1" applyAlignment="1" applyProtection="1">
      <alignment vertical="center" wrapText="1"/>
    </xf>
    <xf numFmtId="179" fontId="9" fillId="10" borderId="5" xfId="2" applyNumberFormat="1" applyFill="1" applyBorder="1" applyAlignment="1" applyProtection="1">
      <alignment horizontal="center" vertical="center"/>
    </xf>
    <xf numFmtId="9" fontId="9" fillId="10" borderId="5" xfId="23" applyFont="1" applyFill="1" applyBorder="1" applyAlignment="1" applyProtection="1">
      <alignment horizontal="center" vertical="center"/>
    </xf>
    <xf numFmtId="9" fontId="9" fillId="10" borderId="5" xfId="2" applyNumberFormat="1" applyFill="1" applyBorder="1" applyAlignment="1" applyProtection="1">
      <alignment horizontal="center" vertical="center"/>
    </xf>
    <xf numFmtId="43" fontId="9" fillId="4" borderId="5" xfId="22" applyFont="1" applyFill="1" applyBorder="1" applyAlignment="1" applyProtection="1">
      <alignment vertical="center"/>
    </xf>
    <xf numFmtId="43" fontId="0" fillId="0" borderId="0" xfId="22" applyFont="1"/>
    <xf numFmtId="0" fontId="0" fillId="15" borderId="0" xfId="17" applyFont="1" applyFill="1"/>
    <xf numFmtId="178" fontId="38" fillId="15" borderId="0" xfId="22" applyNumberFormat="1" applyFont="1" applyFill="1" applyAlignment="1" applyProtection="1">
      <alignment vertical="center" wrapText="1"/>
      <protection locked="0"/>
    </xf>
    <xf numFmtId="43" fontId="9" fillId="15" borderId="0" xfId="22" applyFont="1" applyFill="1" applyAlignment="1" applyProtection="1">
      <alignment vertical="center" wrapText="1"/>
      <protection locked="0"/>
    </xf>
    <xf numFmtId="43" fontId="9" fillId="15" borderId="0" xfId="22" applyFont="1" applyFill="1" applyAlignment="1" applyProtection="1">
      <alignment vertical="center"/>
      <protection locked="0"/>
    </xf>
    <xf numFmtId="0" fontId="9" fillId="15" borderId="0" xfId="2" applyNumberFormat="1" applyFill="1" applyAlignment="1">
      <alignment vertical="center"/>
      <protection locked="0"/>
    </xf>
    <xf numFmtId="43" fontId="37" fillId="0" borderId="0" xfId="22" applyFont="1" applyAlignment="1" applyProtection="1">
      <alignment vertical="center"/>
      <protection locked="0"/>
    </xf>
    <xf numFmtId="4" fontId="9" fillId="0" borderId="0" xfId="22" applyNumberFormat="1" applyFont="1" applyAlignment="1" applyProtection="1">
      <alignment vertical="center" wrapText="1"/>
      <protection locked="0"/>
    </xf>
    <xf numFmtId="178" fontId="38" fillId="0" borderId="0" xfId="22" applyNumberFormat="1" applyFont="1" applyAlignment="1" applyProtection="1">
      <alignment vertical="center" wrapText="1"/>
      <protection locked="0"/>
    </xf>
    <xf numFmtId="43" fontId="0" fillId="0" borderId="0" xfId="17" applyNumberFormat="1" applyFont="1"/>
    <xf numFmtId="43" fontId="37" fillId="15" borderId="0" xfId="22" applyFont="1" applyFill="1" applyAlignment="1" applyProtection="1">
      <alignment vertical="center"/>
      <protection locked="0"/>
    </xf>
    <xf numFmtId="43" fontId="57" fillId="15" borderId="0" xfId="22" applyFont="1" applyFill="1" applyAlignment="1" applyProtection="1">
      <alignment vertical="center"/>
      <protection locked="0"/>
    </xf>
    <xf numFmtId="0" fontId="37" fillId="15" borderId="0" xfId="2" applyNumberFormat="1" applyFont="1" applyFill="1" applyAlignment="1">
      <alignment vertical="center"/>
      <protection locked="0"/>
    </xf>
    <xf numFmtId="43" fontId="9" fillId="0" borderId="0" xfId="22" applyFont="1" applyAlignment="1" applyProtection="1">
      <alignment vertical="center" wrapText="1"/>
      <protection locked="0"/>
    </xf>
    <xf numFmtId="43" fontId="38" fillId="0" borderId="0" xfId="22" applyFont="1" applyAlignment="1" applyProtection="1">
      <alignment vertical="center"/>
      <protection locked="0"/>
    </xf>
    <xf numFmtId="0" fontId="9" fillId="0" borderId="0" xfId="2" applyNumberFormat="1" applyFill="1" applyAlignment="1">
      <alignment vertical="center"/>
      <protection locked="0"/>
    </xf>
    <xf numFmtId="4" fontId="9" fillId="10" borderId="5" xfId="22" applyNumberFormat="1" applyFont="1" applyFill="1" applyBorder="1" applyAlignment="1" applyProtection="1">
      <alignment vertical="center"/>
    </xf>
    <xf numFmtId="4" fontId="9" fillId="10" borderId="22" xfId="22" applyNumberFormat="1" applyFont="1" applyFill="1" applyBorder="1" applyAlignment="1" applyProtection="1">
      <alignment vertical="center"/>
    </xf>
    <xf numFmtId="0" fontId="9" fillId="0" borderId="6" xfId="26" applyFont="1" applyFill="1" applyBorder="1" applyAlignment="1">
      <alignment vertical="center"/>
    </xf>
    <xf numFmtId="174" fontId="37" fillId="4" borderId="6" xfId="2" applyNumberFormat="1" applyFont="1" applyBorder="1" applyAlignment="1">
      <alignment horizontal="right" vertical="center"/>
      <protection locked="0"/>
    </xf>
    <xf numFmtId="0" fontId="42" fillId="15" borderId="6" xfId="26" applyFill="1" applyBorder="1" applyAlignment="1"/>
    <xf numFmtId="0" fontId="0" fillId="0" borderId="16" xfId="0" applyBorder="1"/>
    <xf numFmtId="0" fontId="0" fillId="0" borderId="17" xfId="0" applyBorder="1"/>
    <xf numFmtId="0" fontId="19" fillId="0" borderId="0" xfId="0" applyFont="1" applyAlignment="1">
      <alignment horizontal="right"/>
    </xf>
    <xf numFmtId="0" fontId="0" fillId="0" borderId="6" xfId="0" applyBorder="1" applyAlignment="1">
      <alignment horizontal="center"/>
    </xf>
    <xf numFmtId="0" fontId="0" fillId="0" borderId="8" xfId="0" applyBorder="1" applyAlignment="1">
      <alignment horizontal="center"/>
    </xf>
    <xf numFmtId="0" fontId="81" fillId="3" borderId="18" xfId="0" applyFont="1" applyFill="1" applyBorder="1" applyAlignment="1">
      <alignment horizontal="center" wrapText="1"/>
    </xf>
    <xf numFmtId="0" fontId="81" fillId="3" borderId="12" xfId="0" applyFont="1" applyFill="1" applyBorder="1" applyAlignment="1">
      <alignment horizontal="center" wrapText="1"/>
    </xf>
    <xf numFmtId="173" fontId="0" fillId="0" borderId="0" xfId="0" applyNumberFormat="1"/>
    <xf numFmtId="0" fontId="0" fillId="15" borderId="0" xfId="0" applyFill="1"/>
    <xf numFmtId="9" fontId="19" fillId="15" borderId="0" xfId="0" applyNumberFormat="1" applyFont="1" applyFill="1" applyAlignment="1">
      <alignment horizontal="center"/>
    </xf>
    <xf numFmtId="0" fontId="19" fillId="27" borderId="0" xfId="0" applyFont="1" applyFill="1"/>
    <xf numFmtId="0" fontId="0" fillId="27" borderId="0" xfId="0" applyFill="1"/>
    <xf numFmtId="0" fontId="38" fillId="27" borderId="0" xfId="0" applyFont="1" applyFill="1"/>
    <xf numFmtId="0" fontId="27" fillId="15" borderId="0" xfId="28" applyFont="1" applyFill="1"/>
    <xf numFmtId="1" fontId="0" fillId="15" borderId="0" xfId="0" applyNumberFormat="1" applyFill="1"/>
    <xf numFmtId="164" fontId="0" fillId="15" borderId="0" xfId="0" applyNumberFormat="1" applyFill="1"/>
    <xf numFmtId="0" fontId="31" fillId="3" borderId="6" xfId="0" applyFont="1" applyFill="1" applyBorder="1" applyAlignment="1">
      <alignment horizontal="center"/>
    </xf>
    <xf numFmtId="0" fontId="31" fillId="3" borderId="6" xfId="67" applyFont="1" applyFill="1" applyBorder="1"/>
    <xf numFmtId="0" fontId="50" fillId="3" borderId="6" xfId="0" applyFont="1" applyFill="1" applyBorder="1"/>
    <xf numFmtId="0" fontId="31" fillId="3" borderId="19" xfId="0" applyFont="1" applyFill="1" applyBorder="1" applyAlignment="1">
      <alignment horizontal="center"/>
    </xf>
    <xf numFmtId="0" fontId="81" fillId="3" borderId="19" xfId="0" applyFont="1" applyFill="1" applyBorder="1" applyAlignment="1">
      <alignment horizontal="center" wrapText="1"/>
    </xf>
    <xf numFmtId="0" fontId="81" fillId="3" borderId="16" xfId="0" applyFont="1" applyFill="1" applyBorder="1" applyAlignment="1">
      <alignment horizontal="center" wrapText="1"/>
    </xf>
    <xf numFmtId="2" fontId="55" fillId="0" borderId="6" xfId="0" applyNumberFormat="1" applyFont="1" applyBorder="1" applyAlignment="1">
      <alignment horizontal="center"/>
    </xf>
    <xf numFmtId="0" fontId="90" fillId="0" borderId="6" xfId="0" applyFont="1" applyBorder="1"/>
    <xf numFmtId="0" fontId="37" fillId="0" borderId="0" xfId="0" applyFont="1" applyAlignment="1">
      <alignment horizontal="right"/>
    </xf>
    <xf numFmtId="4" fontId="19" fillId="0" borderId="0" xfId="22" applyNumberFormat="1" applyFont="1" applyAlignment="1">
      <alignment horizontal="right"/>
    </xf>
    <xf numFmtId="2" fontId="19" fillId="3" borderId="0" xfId="0" applyNumberFormat="1" applyFont="1" applyFill="1"/>
    <xf numFmtId="0" fontId="91" fillId="28" borderId="6" xfId="26" applyFont="1" applyFill="1" applyBorder="1"/>
    <xf numFmtId="0" fontId="85" fillId="0" borderId="0" xfId="26" applyFont="1" applyFill="1" applyBorder="1" applyAlignment="1"/>
    <xf numFmtId="0" fontId="85" fillId="0" borderId="0" xfId="26" applyFont="1" applyFill="1"/>
    <xf numFmtId="0" fontId="42" fillId="26" borderId="6" xfId="26" applyFill="1" applyBorder="1"/>
    <xf numFmtId="0" fontId="8" fillId="0" borderId="0" xfId="13" applyProtection="1">
      <protection locked="0"/>
    </xf>
    <xf numFmtId="0" fontId="92" fillId="0" borderId="0" xfId="13" applyFont="1"/>
    <xf numFmtId="4" fontId="38" fillId="4" borderId="5" xfId="22" applyNumberFormat="1" applyFont="1" applyFill="1" applyBorder="1" applyAlignment="1" applyProtection="1">
      <alignment vertical="center" wrapText="1"/>
      <protection locked="0"/>
    </xf>
    <xf numFmtId="4" fontId="14" fillId="15" borderId="0" xfId="10" applyNumberFormat="1" applyFont="1" applyFill="1" applyBorder="1" applyAlignment="1">
      <alignment vertical="center"/>
    </xf>
    <xf numFmtId="4" fontId="9" fillId="4" borderId="5" xfId="22" applyNumberFormat="1" applyFont="1" applyFill="1" applyBorder="1" applyAlignment="1" applyProtection="1">
      <alignment vertical="center" wrapText="1"/>
      <protection locked="0"/>
    </xf>
    <xf numFmtId="4" fontId="38" fillId="4" borderId="21" xfId="22" applyNumberFormat="1" applyFont="1" applyFill="1" applyBorder="1" applyAlignment="1" applyProtection="1">
      <alignment vertical="center" wrapText="1"/>
      <protection locked="0"/>
    </xf>
    <xf numFmtId="4" fontId="9" fillId="4" borderId="21" xfId="22" applyNumberFormat="1" applyFont="1" applyFill="1" applyBorder="1" applyAlignment="1" applyProtection="1">
      <alignment vertical="center"/>
      <protection locked="0"/>
    </xf>
    <xf numFmtId="4" fontId="38" fillId="15" borderId="0" xfId="22" applyNumberFormat="1" applyFont="1" applyFill="1" applyBorder="1" applyAlignment="1" applyProtection="1">
      <alignment vertical="center" wrapText="1"/>
      <protection locked="0"/>
    </xf>
    <xf numFmtId="4" fontId="9" fillId="4" borderId="5" xfId="22" applyNumberFormat="1" applyFont="1" applyFill="1" applyBorder="1" applyAlignment="1" applyProtection="1">
      <alignment vertical="center"/>
      <protection locked="0"/>
    </xf>
    <xf numFmtId="4" fontId="37" fillId="15" borderId="0" xfId="22" applyNumberFormat="1" applyFont="1" applyFill="1" applyAlignment="1">
      <alignment vertical="center" wrapText="1"/>
    </xf>
    <xf numFmtId="4" fontId="9" fillId="4" borderId="22" xfId="22" applyNumberFormat="1" applyFont="1" applyFill="1" applyBorder="1" applyAlignment="1" applyProtection="1">
      <alignment vertical="center" wrapText="1"/>
      <protection locked="0"/>
    </xf>
    <xf numFmtId="0" fontId="38" fillId="0" borderId="0" xfId="0" applyFont="1" applyAlignment="1">
      <alignment horizontal="right"/>
    </xf>
    <xf numFmtId="0" fontId="93" fillId="0" borderId="0" xfId="26" applyFont="1" applyAlignment="1" applyProtection="1">
      <alignment horizontal="right" wrapText="1"/>
    </xf>
    <xf numFmtId="9" fontId="38" fillId="0" borderId="0" xfId="0" applyNumberFormat="1" applyFont="1" applyAlignment="1">
      <alignment horizontal="right"/>
    </xf>
    <xf numFmtId="0" fontId="93" fillId="0" borderId="0" xfId="26" applyFont="1" applyAlignment="1" applyProtection="1">
      <alignment horizontal="right"/>
    </xf>
    <xf numFmtId="0" fontId="44" fillId="10" borderId="6" xfId="26" applyFont="1" applyFill="1" applyBorder="1" applyAlignment="1">
      <alignment vertical="center"/>
    </xf>
    <xf numFmtId="173" fontId="19" fillId="10" borderId="6" xfId="0" applyNumberFormat="1" applyFont="1" applyFill="1" applyBorder="1" applyAlignment="1">
      <alignment horizontal="center" vertical="center"/>
    </xf>
    <xf numFmtId="9" fontId="9" fillId="10" borderId="6" xfId="23" applyFont="1" applyFill="1" applyBorder="1" applyAlignment="1">
      <alignment horizontal="center" vertical="center"/>
    </xf>
    <xf numFmtId="0" fontId="0" fillId="9" borderId="0" xfId="0" applyFill="1" applyAlignment="1">
      <alignment horizontal="left"/>
    </xf>
    <xf numFmtId="9" fontId="0" fillId="10" borderId="6" xfId="23" applyFont="1" applyFill="1" applyBorder="1" applyAlignment="1">
      <alignment horizontal="center" vertical="center"/>
    </xf>
    <xf numFmtId="43" fontId="38" fillId="4" borderId="21" xfId="22" applyFont="1" applyFill="1" applyBorder="1" applyAlignment="1" applyProtection="1">
      <alignment vertical="center"/>
      <protection locked="0"/>
    </xf>
    <xf numFmtId="0" fontId="0" fillId="9" borderId="7" xfId="0" applyFill="1" applyBorder="1" applyAlignment="1">
      <alignment vertical="top"/>
    </xf>
    <xf numFmtId="0" fontId="0" fillId="0" borderId="0" xfId="0" applyAlignment="1">
      <alignment horizontal="left" wrapText="1"/>
    </xf>
    <xf numFmtId="0" fontId="53" fillId="9" borderId="0" xfId="0" applyFont="1" applyFill="1" applyAlignment="1">
      <alignment vertical="top"/>
    </xf>
    <xf numFmtId="0" fontId="53" fillId="9" borderId="0" xfId="0" applyFont="1" applyFill="1" applyAlignment="1">
      <alignment horizontal="left" vertical="top" wrapText="1"/>
    </xf>
    <xf numFmtId="0" fontId="63" fillId="9" borderId="0" xfId="0" applyFont="1" applyFill="1" applyAlignment="1">
      <alignment wrapText="1"/>
    </xf>
    <xf numFmtId="171" fontId="0" fillId="0" borderId="0" xfId="0" applyNumberFormat="1"/>
    <xf numFmtId="43" fontId="14" fillId="15" borderId="0" xfId="10" applyNumberFormat="1" applyFont="1" applyFill="1" applyBorder="1" applyAlignment="1">
      <alignment vertical="center"/>
    </xf>
    <xf numFmtId="0" fontId="19" fillId="9" borderId="0" xfId="0" applyFont="1" applyFill="1"/>
    <xf numFmtId="0" fontId="0" fillId="4" borderId="6" xfId="0" applyFill="1" applyBorder="1"/>
    <xf numFmtId="0" fontId="9" fillId="9" borderId="7" xfId="2" applyNumberFormat="1" applyFill="1" applyBorder="1" applyAlignment="1" applyProtection="1">
      <alignment vertical="center"/>
    </xf>
    <xf numFmtId="9" fontId="0" fillId="4" borderId="8" xfId="0" applyNumberFormat="1" applyFill="1" applyBorder="1"/>
    <xf numFmtId="0" fontId="0" fillId="26" borderId="6" xfId="0" applyFill="1" applyBorder="1"/>
    <xf numFmtId="0" fontId="19" fillId="9" borderId="0" xfId="0" applyFont="1" applyFill="1" applyAlignment="1">
      <alignment horizontal="right" wrapText="1"/>
    </xf>
    <xf numFmtId="0" fontId="37" fillId="9" borderId="0" xfId="2" applyNumberFormat="1" applyFont="1" applyFill="1" applyBorder="1" applyAlignment="1" applyProtection="1">
      <alignment horizontal="right" vertical="center" wrapText="1"/>
    </xf>
    <xf numFmtId="0" fontId="0" fillId="9" borderId="7" xfId="0" applyFill="1" applyBorder="1" applyAlignment="1">
      <alignment horizontal="left" vertical="top" wrapText="1"/>
    </xf>
    <xf numFmtId="0" fontId="0" fillId="0" borderId="6" xfId="0" applyBorder="1" applyAlignment="1">
      <alignment horizontal="left"/>
    </xf>
    <xf numFmtId="0" fontId="95" fillId="0" borderId="0" xfId="26" applyFont="1" applyProtection="1"/>
    <xf numFmtId="0" fontId="19" fillId="0" borderId="0" xfId="0" applyFont="1" applyAlignment="1">
      <alignment wrapText="1"/>
    </xf>
    <xf numFmtId="0" fontId="0" fillId="9" borderId="0" xfId="0" applyFill="1" applyAlignment="1">
      <alignment horizontal="right"/>
    </xf>
    <xf numFmtId="0" fontId="40" fillId="9" borderId="0" xfId="0" applyFont="1" applyFill="1" applyAlignment="1">
      <alignment horizontal="right" vertical="top" wrapText="1"/>
    </xf>
    <xf numFmtId="177" fontId="0" fillId="9" borderId="0" xfId="0" quotePrefix="1" applyNumberFormat="1" applyFill="1" applyAlignment="1">
      <alignment horizontal="right"/>
    </xf>
    <xf numFmtId="177" fontId="0" fillId="15" borderId="12" xfId="0" quotePrefix="1" applyNumberFormat="1" applyFill="1" applyBorder="1" applyAlignment="1">
      <alignment horizontal="right"/>
    </xf>
    <xf numFmtId="171" fontId="37" fillId="4" borderId="6" xfId="2" applyNumberFormat="1" applyFont="1" applyBorder="1" applyAlignment="1">
      <alignment horizontal="right" vertical="center"/>
      <protection locked="0"/>
    </xf>
    <xf numFmtId="0" fontId="37" fillId="9" borderId="0" xfId="2" applyNumberFormat="1" applyFont="1" applyFill="1" applyAlignment="1" applyProtection="1">
      <alignment horizontal="right" vertical="center"/>
    </xf>
    <xf numFmtId="9" fontId="66" fillId="10" borderId="6" xfId="2" applyNumberFormat="1" applyFont="1" applyFill="1" applyBorder="1" applyAlignment="1" applyProtection="1">
      <alignment horizontal="right" vertical="center"/>
    </xf>
    <xf numFmtId="0" fontId="19" fillId="9" borderId="0" xfId="0" applyFont="1" applyFill="1" applyAlignment="1">
      <alignment horizontal="right" vertical="top" wrapText="1"/>
    </xf>
    <xf numFmtId="0" fontId="42" fillId="9" borderId="0" xfId="26" quotePrefix="1" applyFill="1" applyAlignment="1" applyProtection="1">
      <alignment horizontal="right"/>
    </xf>
    <xf numFmtId="0" fontId="42" fillId="9" borderId="0" xfId="26" applyFill="1" applyAlignment="1" applyProtection="1">
      <alignment horizontal="right"/>
    </xf>
    <xf numFmtId="0" fontId="0" fillId="0" borderId="0" xfId="0" applyAlignment="1">
      <alignment horizontal="right"/>
    </xf>
    <xf numFmtId="0" fontId="31" fillId="3" borderId="6" xfId="0" applyFont="1" applyFill="1" applyBorder="1" applyAlignment="1">
      <alignment horizontal="center" wrapText="1"/>
    </xf>
    <xf numFmtId="0" fontId="96" fillId="9" borderId="0" xfId="0" applyFont="1" applyFill="1" applyAlignment="1">
      <alignment horizontal="center" vertical="top" wrapText="1"/>
    </xf>
    <xf numFmtId="0" fontId="19" fillId="0" borderId="14" xfId="0" applyFont="1" applyBorder="1" applyAlignment="1">
      <alignment horizontal="left" vertical="center"/>
    </xf>
    <xf numFmtId="0" fontId="0" fillId="9" borderId="15" xfId="0" applyFill="1" applyBorder="1" applyAlignment="1">
      <alignment horizontal="left" vertical="top"/>
    </xf>
    <xf numFmtId="0" fontId="37" fillId="9" borderId="12" xfId="2" applyNumberFormat="1" applyFont="1" applyFill="1" applyBorder="1" applyAlignment="1">
      <alignment horizontal="right" vertical="center"/>
      <protection locked="0"/>
    </xf>
    <xf numFmtId="0" fontId="0" fillId="15" borderId="14" xfId="0" applyFill="1" applyBorder="1"/>
    <xf numFmtId="0" fontId="37" fillId="9" borderId="9" xfId="2" applyNumberFormat="1" applyFont="1" applyFill="1" applyBorder="1" applyAlignment="1" applyProtection="1">
      <alignment vertical="center"/>
    </xf>
    <xf numFmtId="0" fontId="75" fillId="9" borderId="0" xfId="0" applyFont="1" applyFill="1" applyAlignment="1">
      <alignment vertical="center" wrapText="1"/>
    </xf>
    <xf numFmtId="0" fontId="60" fillId="9" borderId="0" xfId="0" applyFont="1" applyFill="1"/>
    <xf numFmtId="9" fontId="60" fillId="9" borderId="0" xfId="0" applyNumberFormat="1" applyFont="1" applyFill="1"/>
    <xf numFmtId="0" fontId="91" fillId="28" borderId="6" xfId="26" applyFont="1" applyFill="1" applyBorder="1" applyAlignment="1"/>
    <xf numFmtId="171" fontId="66" fillId="10" borderId="6" xfId="2" applyNumberFormat="1" applyFont="1" applyFill="1" applyBorder="1" applyAlignment="1" applyProtection="1">
      <alignment horizontal="right" vertical="center"/>
    </xf>
    <xf numFmtId="4" fontId="9" fillId="10" borderId="22" xfId="22" applyNumberFormat="1" applyFont="1" applyFill="1" applyBorder="1" applyAlignment="1">
      <alignment vertical="center" wrapText="1"/>
    </xf>
    <xf numFmtId="0" fontId="42" fillId="0" borderId="6" xfId="26" applyFill="1" applyBorder="1"/>
    <xf numFmtId="0" fontId="0" fillId="9" borderId="6" xfId="0" applyFill="1" applyBorder="1" applyAlignment="1">
      <alignment horizontal="left"/>
    </xf>
    <xf numFmtId="4" fontId="37" fillId="0" borderId="0" xfId="22" applyNumberFormat="1" applyFont="1" applyAlignment="1">
      <alignment horizontal="right" wrapText="1"/>
    </xf>
    <xf numFmtId="4" fontId="37" fillId="0" borderId="0" xfId="22" applyNumberFormat="1" applyFont="1" applyFill="1" applyBorder="1" applyAlignment="1" applyProtection="1">
      <alignment horizontal="right" vertical="center" wrapText="1"/>
      <protection locked="0"/>
    </xf>
    <xf numFmtId="0" fontId="19" fillId="0" borderId="0" xfId="17" applyFont="1" applyAlignment="1">
      <alignment horizontal="right"/>
    </xf>
    <xf numFmtId="0" fontId="19" fillId="19" borderId="0" xfId="0" applyFont="1" applyFill="1"/>
    <xf numFmtId="0" fontId="19" fillId="18" borderId="0" xfId="0" applyFont="1" applyFill="1"/>
    <xf numFmtId="0" fontId="53" fillId="9" borderId="14" xfId="0" applyFont="1" applyFill="1" applyBorder="1" applyAlignment="1">
      <alignment vertical="top"/>
    </xf>
    <xf numFmtId="0" fontId="81" fillId="0" borderId="0" xfId="0" applyFont="1" applyAlignment="1">
      <alignment horizontal="center" wrapText="1"/>
    </xf>
    <xf numFmtId="173" fontId="79" fillId="0" borderId="0" xfId="0" applyNumberFormat="1" applyFont="1" applyAlignment="1">
      <alignment horizontal="center" vertical="center"/>
    </xf>
    <xf numFmtId="0" fontId="38" fillId="9" borderId="0" xfId="0" applyFont="1" applyFill="1"/>
    <xf numFmtId="0" fontId="38" fillId="9" borderId="0" xfId="0" applyFont="1" applyFill="1" applyAlignment="1">
      <alignment horizontal="left" vertical="top" wrapText="1"/>
    </xf>
    <xf numFmtId="0" fontId="98" fillId="9" borderId="0" xfId="0" applyFont="1" applyFill="1" applyAlignment="1">
      <alignment horizontal="left" vertical="top"/>
    </xf>
    <xf numFmtId="0" fontId="9" fillId="0" borderId="0" xfId="0" applyFont="1" applyAlignment="1">
      <alignment horizontal="right"/>
    </xf>
    <xf numFmtId="0" fontId="9" fillId="0" borderId="0" xfId="0" applyFont="1" applyAlignment="1">
      <alignment horizontal="left"/>
    </xf>
    <xf numFmtId="4" fontId="9" fillId="10" borderId="22" xfId="22" applyNumberFormat="1" applyFont="1" applyFill="1" applyBorder="1" applyAlignment="1">
      <alignment vertical="center"/>
    </xf>
    <xf numFmtId="0" fontId="0" fillId="9" borderId="7" xfId="0" applyFill="1" applyBorder="1" applyAlignment="1">
      <alignment vertical="top" wrapText="1"/>
    </xf>
    <xf numFmtId="0" fontId="53" fillId="9" borderId="14" xfId="0" applyFont="1" applyFill="1" applyBorder="1" applyAlignment="1">
      <alignment vertical="top" wrapText="1"/>
    </xf>
    <xf numFmtId="4" fontId="37" fillId="0" borderId="0" xfId="17" applyNumberFormat="1" applyFont="1" applyAlignment="1">
      <alignment horizontal="right"/>
    </xf>
    <xf numFmtId="173" fontId="0" fillId="4" borderId="6" xfId="0" applyNumberFormat="1" applyFill="1" applyBorder="1" applyAlignment="1">
      <alignment horizontal="right"/>
    </xf>
    <xf numFmtId="0" fontId="26" fillId="0" borderId="1" xfId="5" applyFont="1"/>
    <xf numFmtId="0" fontId="25" fillId="0" borderId="5" xfId="17" applyFont="1" applyBorder="1" applyAlignment="1">
      <alignment horizontal="left"/>
    </xf>
    <xf numFmtId="0" fontId="22" fillId="0" borderId="0" xfId="19" applyFont="1"/>
    <xf numFmtId="0" fontId="23" fillId="0" borderId="0" xfId="18" applyFont="1" applyAlignment="1">
      <alignment vertical="top"/>
    </xf>
    <xf numFmtId="165" fontId="24" fillId="0" borderId="0" xfId="18" applyNumberFormat="1" applyFont="1" applyAlignment="1">
      <alignment vertical="top"/>
    </xf>
    <xf numFmtId="0" fontId="26" fillId="0" borderId="1" xfId="5" applyFont="1" applyAlignment="1">
      <alignment horizontal="center" wrapText="1"/>
    </xf>
    <xf numFmtId="0" fontId="27" fillId="0" borderId="0" xfId="18" applyFont="1" applyAlignment="1">
      <alignment vertical="top"/>
    </xf>
    <xf numFmtId="0" fontId="28" fillId="0" borderId="5" xfId="18" applyFont="1" applyBorder="1" applyAlignment="1">
      <alignment vertical="top"/>
    </xf>
    <xf numFmtId="0" fontId="28" fillId="0" borderId="5" xfId="18" applyFont="1" applyBorder="1" applyAlignment="1">
      <alignment horizontal="center" vertical="top"/>
    </xf>
    <xf numFmtId="4" fontId="28" fillId="0" borderId="0" xfId="18" applyNumberFormat="1" applyFont="1" applyAlignment="1">
      <alignment vertical="top"/>
    </xf>
    <xf numFmtId="166" fontId="28" fillId="0" borderId="5" xfId="18" applyNumberFormat="1" applyFont="1" applyBorder="1" applyAlignment="1">
      <alignment horizontal="center" vertical="top"/>
    </xf>
    <xf numFmtId="167" fontId="28" fillId="0" borderId="0" xfId="18" applyNumberFormat="1" applyFont="1" applyAlignment="1">
      <alignment vertical="top"/>
    </xf>
    <xf numFmtId="3" fontId="28" fillId="0" borderId="5" xfId="18" applyNumberFormat="1" applyFont="1" applyBorder="1" applyAlignment="1">
      <alignment horizontal="center" vertical="top"/>
    </xf>
    <xf numFmtId="168" fontId="27" fillId="0" borderId="0" xfId="18" applyNumberFormat="1" applyFont="1" applyAlignment="1">
      <alignment vertical="top"/>
    </xf>
    <xf numFmtId="165" fontId="28" fillId="0" borderId="5" xfId="18" applyNumberFormat="1" applyFont="1" applyBorder="1" applyAlignment="1">
      <alignment horizontal="center" vertical="top"/>
    </xf>
    <xf numFmtId="4" fontId="27" fillId="0" borderId="0" xfId="18" applyNumberFormat="1" applyFont="1" applyAlignment="1">
      <alignment vertical="top"/>
    </xf>
    <xf numFmtId="0" fontId="28" fillId="0" borderId="0" xfId="18" applyFont="1" applyAlignment="1">
      <alignment vertical="top"/>
    </xf>
    <xf numFmtId="165" fontId="28" fillId="0" borderId="0" xfId="18" applyNumberFormat="1" applyFont="1" applyAlignment="1">
      <alignment vertical="top"/>
    </xf>
    <xf numFmtId="0" fontId="29" fillId="0" borderId="0" xfId="18" applyFont="1" applyAlignment="1">
      <alignment vertical="top"/>
    </xf>
    <xf numFmtId="0" fontId="30" fillId="0" borderId="0" xfId="18" applyFont="1" applyAlignment="1">
      <alignment vertical="top"/>
    </xf>
    <xf numFmtId="165" fontId="30" fillId="0" borderId="0" xfId="18" applyNumberFormat="1" applyFont="1" applyAlignment="1">
      <alignment vertical="top"/>
    </xf>
    <xf numFmtId="169" fontId="28" fillId="0" borderId="5" xfId="18" applyNumberFormat="1" applyFont="1" applyBorder="1" applyAlignment="1">
      <alignment horizontal="center" vertical="top"/>
    </xf>
    <xf numFmtId="164" fontId="28" fillId="0" borderId="5" xfId="18" applyNumberFormat="1" applyFont="1" applyBorder="1" applyAlignment="1">
      <alignment horizontal="center" vertical="top"/>
    </xf>
    <xf numFmtId="170" fontId="27" fillId="0" borderId="5" xfId="18" applyNumberFormat="1" applyFont="1" applyBorder="1" applyAlignment="1">
      <alignment horizontal="center" vertical="top"/>
    </xf>
    <xf numFmtId="4" fontId="28" fillId="0" borderId="5" xfId="18" applyNumberFormat="1" applyFont="1" applyBorder="1" applyAlignment="1">
      <alignment horizontal="center" vertical="top"/>
    </xf>
    <xf numFmtId="170" fontId="28" fillId="0" borderId="5" xfId="18" applyNumberFormat="1" applyFont="1" applyBorder="1" applyAlignment="1">
      <alignment horizontal="center" vertical="top"/>
    </xf>
    <xf numFmtId="171" fontId="28" fillId="0" borderId="5" xfId="18" applyNumberFormat="1" applyFont="1" applyBorder="1" applyAlignment="1">
      <alignment horizontal="center" vertical="top"/>
    </xf>
    <xf numFmtId="1" fontId="28" fillId="0" borderId="5" xfId="18" applyNumberFormat="1" applyFont="1" applyBorder="1" applyAlignment="1">
      <alignment horizontal="center" vertical="top"/>
    </xf>
    <xf numFmtId="172" fontId="28" fillId="0" borderId="5" xfId="18" applyNumberFormat="1" applyFont="1" applyBorder="1" applyAlignment="1">
      <alignment horizontal="center" vertical="top"/>
    </xf>
    <xf numFmtId="170" fontId="31" fillId="0" borderId="5" xfId="19" applyNumberFormat="1" applyFont="1" applyBorder="1" applyAlignment="1">
      <alignment horizontal="center" vertical="top"/>
    </xf>
    <xf numFmtId="169" fontId="27" fillId="0" borderId="5" xfId="18" applyNumberFormat="1" applyFont="1" applyBorder="1" applyAlignment="1">
      <alignment horizontal="center" vertical="top"/>
    </xf>
    <xf numFmtId="166" fontId="27" fillId="0" borderId="0" xfId="18" applyNumberFormat="1" applyFont="1" applyAlignment="1">
      <alignment vertical="top"/>
    </xf>
    <xf numFmtId="0" fontId="31" fillId="0" borderId="5" xfId="19" applyFont="1" applyBorder="1" applyAlignment="1">
      <alignment horizontal="center" vertical="top"/>
    </xf>
    <xf numFmtId="173" fontId="28" fillId="0" borderId="5" xfId="18" applyNumberFormat="1" applyFont="1" applyBorder="1" applyAlignment="1">
      <alignment horizontal="center" vertical="top"/>
    </xf>
    <xf numFmtId="174" fontId="28" fillId="0" borderId="5" xfId="18" applyNumberFormat="1" applyFont="1" applyBorder="1" applyAlignment="1">
      <alignment horizontal="center" vertical="top"/>
    </xf>
    <xf numFmtId="2" fontId="28" fillId="0" borderId="5" xfId="18" applyNumberFormat="1" applyFont="1" applyBorder="1" applyAlignment="1">
      <alignment horizontal="center" vertical="top"/>
    </xf>
    <xf numFmtId="166" fontId="32" fillId="0" borderId="5" xfId="19" applyNumberFormat="1" applyFont="1" applyBorder="1" applyAlignment="1">
      <alignment horizontal="center" vertical="top"/>
    </xf>
    <xf numFmtId="175" fontId="28" fillId="0" borderId="5" xfId="18" applyNumberFormat="1" applyFont="1" applyBorder="1" applyAlignment="1">
      <alignment horizontal="center" vertical="top"/>
    </xf>
    <xf numFmtId="0" fontId="27" fillId="0" borderId="5" xfId="18" applyFont="1" applyBorder="1" applyAlignment="1">
      <alignment vertical="top"/>
    </xf>
    <xf numFmtId="0" fontId="99" fillId="0" borderId="0" xfId="17" applyFont="1"/>
    <xf numFmtId="173" fontId="19" fillId="10" borderId="6" xfId="0" applyNumberFormat="1" applyFont="1" applyFill="1" applyBorder="1" applyAlignment="1">
      <alignment horizontal="right"/>
    </xf>
    <xf numFmtId="0" fontId="91" fillId="21" borderId="6" xfId="26" applyFont="1" applyFill="1" applyBorder="1" applyAlignment="1"/>
    <xf numFmtId="0" fontId="91" fillId="22" borderId="6" xfId="26" applyFont="1" applyFill="1" applyBorder="1" applyAlignment="1"/>
    <xf numFmtId="0" fontId="42" fillId="23" borderId="6" xfId="26" applyFill="1" applyBorder="1"/>
    <xf numFmtId="0" fontId="42" fillId="23" borderId="6" xfId="26" applyFill="1" applyBorder="1" applyAlignment="1"/>
    <xf numFmtId="0" fontId="42" fillId="24" borderId="6" xfId="26" applyFill="1" applyBorder="1"/>
    <xf numFmtId="0" fontId="42" fillId="24" borderId="6" xfId="26" applyFill="1" applyBorder="1" applyAlignment="1"/>
    <xf numFmtId="0" fontId="42" fillId="18" borderId="6" xfId="26" applyFill="1" applyBorder="1" applyAlignment="1"/>
    <xf numFmtId="0" fontId="42" fillId="18" borderId="6" xfId="26" applyFill="1" applyBorder="1"/>
    <xf numFmtId="0" fontId="42" fillId="25" borderId="6" xfId="26" applyFill="1" applyBorder="1"/>
    <xf numFmtId="0" fontId="38" fillId="19" borderId="0" xfId="0" applyFont="1" applyFill="1" applyAlignment="1">
      <alignment vertical="center"/>
    </xf>
    <xf numFmtId="0" fontId="0" fillId="19" borderId="0" xfId="0" applyFill="1"/>
    <xf numFmtId="0" fontId="38" fillId="18" borderId="0" xfId="0" applyFont="1" applyFill="1" applyAlignment="1">
      <alignment vertical="center"/>
    </xf>
    <xf numFmtId="0" fontId="0" fillId="18" borderId="0" xfId="0" applyFill="1"/>
    <xf numFmtId="0" fontId="38" fillId="27" borderId="0" xfId="0" applyFont="1" applyFill="1" applyAlignment="1">
      <alignment vertical="center"/>
    </xf>
    <xf numFmtId="0" fontId="38" fillId="15" borderId="0" xfId="0" applyFont="1" applyFill="1" applyAlignment="1">
      <alignment vertical="center"/>
    </xf>
    <xf numFmtId="0" fontId="37" fillId="4" borderId="6" xfId="2" applyNumberFormat="1" applyFont="1" applyBorder="1" applyAlignment="1">
      <alignment horizontal="right" vertical="center" wrapText="1"/>
      <protection locked="0"/>
    </xf>
    <xf numFmtId="0" fontId="53" fillId="9" borderId="17" xfId="0" applyFont="1" applyFill="1" applyBorder="1" applyAlignment="1">
      <alignment vertical="top" wrapText="1"/>
    </xf>
    <xf numFmtId="0" fontId="0" fillId="10" borderId="6" xfId="0" applyFill="1" applyBorder="1" applyAlignment="1">
      <alignment horizontal="right" vertical="center"/>
    </xf>
    <xf numFmtId="173" fontId="0" fillId="10" borderId="6" xfId="0" applyNumberFormat="1" applyFill="1" applyBorder="1" applyAlignment="1">
      <alignment horizontal="right" vertical="center"/>
    </xf>
    <xf numFmtId="9" fontId="0" fillId="10" borderId="6" xfId="0" applyNumberFormat="1" applyFill="1" applyBorder="1" applyAlignment="1">
      <alignment vertical="center"/>
    </xf>
    <xf numFmtId="9" fontId="0" fillId="10" borderId="6" xfId="0" applyNumberFormat="1" applyFill="1" applyBorder="1" applyAlignment="1">
      <alignment horizontal="right" vertical="center"/>
    </xf>
    <xf numFmtId="174" fontId="0" fillId="10" borderId="6" xfId="0" applyNumberFormat="1" applyFill="1" applyBorder="1" applyAlignment="1">
      <alignment horizontal="right" vertical="center"/>
    </xf>
    <xf numFmtId="0" fontId="19" fillId="10" borderId="6" xfId="0" applyFont="1" applyFill="1" applyBorder="1" applyAlignment="1">
      <alignment horizontal="right" vertical="center"/>
    </xf>
    <xf numFmtId="174" fontId="37" fillId="10" borderId="6" xfId="2" applyNumberFormat="1" applyFont="1" applyFill="1" applyBorder="1" applyAlignment="1" applyProtection="1">
      <alignment horizontal="right" vertical="center"/>
    </xf>
    <xf numFmtId="0" fontId="5" fillId="0" borderId="0" xfId="0" applyFont="1"/>
    <xf numFmtId="0" fontId="31" fillId="0" borderId="0" xfId="67" applyFont="1" applyFill="1" applyBorder="1" applyAlignment="1"/>
    <xf numFmtId="0" fontId="31" fillId="0" borderId="0" xfId="67" applyFont="1" applyFill="1"/>
    <xf numFmtId="0" fontId="5" fillId="9" borderId="6" xfId="0" applyFont="1" applyFill="1" applyBorder="1"/>
    <xf numFmtId="2" fontId="5" fillId="9" borderId="6" xfId="0" applyNumberFormat="1" applyFont="1" applyFill="1" applyBorder="1"/>
    <xf numFmtId="168" fontId="0" fillId="0" borderId="0" xfId="0" applyNumberFormat="1"/>
    <xf numFmtId="4" fontId="55" fillId="0" borderId="6" xfId="0" applyNumberFormat="1" applyFont="1" applyBorder="1" applyAlignment="1">
      <alignment horizontal="center"/>
    </xf>
    <xf numFmtId="0" fontId="0" fillId="0" borderId="0" xfId="17" applyFont="1" applyFill="1"/>
    <xf numFmtId="0" fontId="19" fillId="0" borderId="0" xfId="17" applyFont="1" applyFill="1"/>
    <xf numFmtId="171" fontId="0" fillId="0" borderId="0" xfId="0" applyNumberFormat="1" applyFill="1"/>
    <xf numFmtId="0" fontId="60" fillId="0" borderId="0" xfId="0" applyFont="1"/>
    <xf numFmtId="0" fontId="0" fillId="0" borderId="0" xfId="0" applyAlignment="1"/>
    <xf numFmtId="0" fontId="0" fillId="0" borderId="0" xfId="0" applyFill="1" applyAlignment="1">
      <alignment horizontal="right"/>
    </xf>
    <xf numFmtId="0" fontId="0" fillId="0" borderId="14" xfId="0" applyFill="1" applyBorder="1"/>
    <xf numFmtId="9" fontId="66" fillId="10" borderId="6" xfId="2" applyNumberFormat="1" applyFont="1" applyFill="1" applyBorder="1" applyAlignment="1">
      <alignment horizontal="right" vertical="center"/>
      <protection locked="0"/>
    </xf>
    <xf numFmtId="0" fontId="61" fillId="9" borderId="0" xfId="0" applyFont="1" applyFill="1" applyAlignment="1">
      <alignment vertical="top" wrapText="1"/>
    </xf>
    <xf numFmtId="0" fontId="37" fillId="9" borderId="14" xfId="2" quotePrefix="1" applyNumberFormat="1" applyFont="1" applyFill="1" applyBorder="1" applyAlignment="1" applyProtection="1">
      <alignment vertical="center"/>
    </xf>
    <xf numFmtId="0" fontId="85" fillId="29" borderId="6" xfId="26" applyFont="1" applyFill="1" applyBorder="1" applyAlignment="1"/>
    <xf numFmtId="0" fontId="105" fillId="28" borderId="6" xfId="26" applyFont="1" applyFill="1" applyBorder="1" applyAlignment="1" applyProtection="1">
      <alignment horizontal="center" wrapText="1"/>
    </xf>
    <xf numFmtId="0" fontId="106" fillId="11" borderId="6" xfId="26" applyFont="1" applyFill="1" applyBorder="1" applyAlignment="1" applyProtection="1">
      <alignment horizontal="center" wrapText="1"/>
    </xf>
    <xf numFmtId="0" fontId="83" fillId="0" borderId="23" xfId="0" applyFont="1" applyFill="1" applyBorder="1" applyAlignment="1">
      <alignment horizontal="center"/>
    </xf>
    <xf numFmtId="0" fontId="0" fillId="0" borderId="0" xfId="0" applyFont="1"/>
    <xf numFmtId="171" fontId="107" fillId="3" borderId="0" xfId="0" applyNumberFormat="1" applyFont="1" applyFill="1"/>
    <xf numFmtId="170" fontId="19" fillId="3" borderId="0" xfId="0" applyNumberFormat="1" applyFont="1" applyFill="1"/>
    <xf numFmtId="9" fontId="0" fillId="0" borderId="0" xfId="0" applyNumberFormat="1"/>
    <xf numFmtId="43" fontId="12" fillId="2" borderId="1" xfId="4" applyNumberFormat="1" applyAlignment="1">
      <alignment wrapText="1"/>
    </xf>
    <xf numFmtId="43" fontId="14" fillId="0" borderId="1" xfId="5" applyNumberFormat="1" applyAlignment="1">
      <alignment wrapText="1"/>
    </xf>
    <xf numFmtId="43" fontId="17" fillId="9" borderId="0" xfId="17" applyNumberFormat="1" applyFill="1"/>
    <xf numFmtId="43" fontId="14" fillId="9" borderId="1" xfId="5" applyNumberFormat="1" applyFill="1" applyAlignment="1">
      <alignment wrapText="1"/>
    </xf>
    <xf numFmtId="43" fontId="0" fillId="9" borderId="0" xfId="17" applyNumberFormat="1" applyFont="1" applyFill="1"/>
    <xf numFmtId="2" fontId="0" fillId="0" borderId="0" xfId="0" applyNumberFormat="1"/>
    <xf numFmtId="9" fontId="38" fillId="4" borderId="5" xfId="23" applyNumberFormat="1" applyFont="1" applyFill="1" applyBorder="1" applyAlignment="1" applyProtection="1">
      <alignment vertical="center"/>
      <protection locked="0"/>
    </xf>
    <xf numFmtId="9" fontId="9" fillId="4" borderId="5" xfId="23" applyNumberFormat="1" applyFont="1" applyFill="1" applyBorder="1" applyAlignment="1" applyProtection="1">
      <alignment vertical="center"/>
      <protection locked="0"/>
    </xf>
    <xf numFmtId="178" fontId="9" fillId="4" borderId="5" xfId="22" applyNumberFormat="1" applyFont="1" applyFill="1" applyBorder="1" applyAlignment="1" applyProtection="1">
      <alignment vertical="center" wrapText="1"/>
      <protection locked="0"/>
    </xf>
    <xf numFmtId="0" fontId="37" fillId="15" borderId="0" xfId="10" applyFont="1" applyFill="1" applyBorder="1" applyAlignment="1">
      <alignment vertical="center"/>
    </xf>
    <xf numFmtId="176" fontId="9" fillId="4" borderId="5" xfId="22" applyNumberFormat="1" applyFont="1" applyFill="1" applyBorder="1" applyAlignment="1" applyProtection="1">
      <alignment vertical="center"/>
      <protection locked="0"/>
    </xf>
    <xf numFmtId="178" fontId="9" fillId="0" borderId="0" xfId="22" applyNumberFormat="1" applyFont="1" applyFill="1" applyBorder="1" applyAlignment="1" applyProtection="1">
      <alignment vertical="center" wrapText="1"/>
      <protection locked="0"/>
    </xf>
    <xf numFmtId="178" fontId="9" fillId="0" borderId="0" xfId="22" applyNumberFormat="1" applyFont="1" applyAlignment="1" applyProtection="1">
      <alignment vertical="center" wrapText="1"/>
      <protection locked="0"/>
    </xf>
    <xf numFmtId="181" fontId="9" fillId="4" borderId="5" xfId="22" applyNumberFormat="1" applyFont="1" applyFill="1" applyBorder="1" applyAlignment="1" applyProtection="1">
      <alignment vertical="center"/>
      <protection locked="0"/>
    </xf>
    <xf numFmtId="178" fontId="9" fillId="15" borderId="0" xfId="22" applyNumberFormat="1" applyFont="1" applyFill="1" applyBorder="1" applyAlignment="1" applyProtection="1">
      <alignment vertical="center" wrapText="1"/>
      <protection locked="0"/>
    </xf>
    <xf numFmtId="0" fontId="32" fillId="0" borderId="0" xfId="0" applyFont="1"/>
    <xf numFmtId="0" fontId="0" fillId="0" borderId="0" xfId="0" applyFill="1"/>
    <xf numFmtId="171" fontId="37" fillId="4" borderId="18" xfId="2" applyNumberFormat="1" applyFont="1" applyBorder="1" applyAlignment="1">
      <alignment horizontal="right" vertical="center"/>
      <protection locked="0"/>
    </xf>
    <xf numFmtId="0" fontId="4" fillId="0" borderId="0" xfId="13" applyFont="1"/>
    <xf numFmtId="0" fontId="38" fillId="0" borderId="0" xfId="0" applyFont="1" applyFill="1"/>
    <xf numFmtId="0" fontId="0" fillId="0" borderId="0" xfId="0" applyFill="1" applyBorder="1" applyAlignment="1">
      <alignment horizontal="left"/>
    </xf>
    <xf numFmtId="0" fontId="37" fillId="0" borderId="14" xfId="2" applyNumberFormat="1" applyFont="1" applyFill="1" applyBorder="1" applyAlignment="1" applyProtection="1">
      <alignment vertical="center"/>
    </xf>
    <xf numFmtId="0" fontId="0" fillId="0" borderId="7" xfId="0" applyFont="1" applyFill="1" applyBorder="1" applyAlignment="1">
      <alignment horizontal="left"/>
    </xf>
    <xf numFmtId="4" fontId="37" fillId="0" borderId="0" xfId="22" applyNumberFormat="1" applyFont="1" applyFill="1" applyBorder="1" applyAlignment="1" applyProtection="1">
      <alignment horizontal="right"/>
      <protection locked="0"/>
    </xf>
    <xf numFmtId="0" fontId="17" fillId="0" borderId="0" xfId="17" applyFont="1"/>
    <xf numFmtId="0" fontId="38" fillId="0" borderId="0" xfId="0" applyFont="1" applyAlignment="1">
      <alignment vertical="center"/>
    </xf>
    <xf numFmtId="4" fontId="9" fillId="15" borderId="0" xfId="22" applyNumberFormat="1" applyFont="1" applyFill="1" applyBorder="1" applyAlignment="1" applyProtection="1">
      <alignment vertical="center" wrapText="1"/>
      <protection locked="0"/>
    </xf>
    <xf numFmtId="4" fontId="9" fillId="0" borderId="24" xfId="22" applyNumberFormat="1" applyFont="1" applyFill="1" applyBorder="1" applyAlignment="1" applyProtection="1">
      <alignment vertical="center" wrapText="1"/>
      <protection locked="0"/>
    </xf>
    <xf numFmtId="4" fontId="38" fillId="0" borderId="0" xfId="22" applyNumberFormat="1" applyFont="1" applyAlignment="1">
      <alignment vertical="center" wrapText="1"/>
    </xf>
    <xf numFmtId="4" fontId="0" fillId="0" borderId="0" xfId="0" applyNumberFormat="1" applyAlignment="1">
      <alignment wrapText="1"/>
    </xf>
    <xf numFmtId="4" fontId="37" fillId="15" borderId="0" xfId="17" applyNumberFormat="1" applyFont="1" applyFill="1" applyAlignment="1">
      <alignment wrapText="1"/>
    </xf>
    <xf numFmtId="4" fontId="9" fillId="0" borderId="25" xfId="22" applyNumberFormat="1" applyFont="1" applyFill="1" applyBorder="1" applyAlignment="1" applyProtection="1">
      <alignment vertical="center" wrapText="1"/>
      <protection locked="0"/>
    </xf>
    <xf numFmtId="4" fontId="38" fillId="0" borderId="0" xfId="22" applyNumberFormat="1" applyFont="1" applyAlignment="1" applyProtection="1">
      <alignment vertical="center" wrapText="1"/>
      <protection locked="0"/>
    </xf>
    <xf numFmtId="4" fontId="38" fillId="4" borderId="22" xfId="22" applyNumberFormat="1" applyFont="1" applyFill="1" applyBorder="1" applyAlignment="1" applyProtection="1">
      <alignment vertical="center"/>
      <protection locked="0"/>
    </xf>
    <xf numFmtId="4" fontId="38" fillId="4" borderId="5" xfId="22" applyNumberFormat="1" applyFont="1" applyFill="1" applyBorder="1" applyAlignment="1" applyProtection="1">
      <alignment horizontal="right" vertical="center" wrapText="1"/>
      <protection locked="0"/>
    </xf>
    <xf numFmtId="4" fontId="19" fillId="0" borderId="0" xfId="17" applyNumberFormat="1" applyFont="1" applyAlignment="1">
      <alignment horizontal="right"/>
    </xf>
    <xf numFmtId="4" fontId="57" fillId="15" borderId="0" xfId="17" applyNumberFormat="1" applyFont="1" applyFill="1" applyAlignment="1">
      <alignment wrapText="1"/>
    </xf>
    <xf numFmtId="4" fontId="38" fillId="15" borderId="0" xfId="22" applyNumberFormat="1" applyFont="1" applyFill="1" applyAlignment="1" applyProtection="1">
      <alignment vertical="center" wrapText="1"/>
      <protection locked="0"/>
    </xf>
    <xf numFmtId="4" fontId="9" fillId="15" borderId="0" xfId="22" applyNumberFormat="1" applyFont="1" applyFill="1" applyAlignment="1" applyProtection="1">
      <alignment vertical="center" wrapText="1"/>
      <protection locked="0"/>
    </xf>
    <xf numFmtId="4" fontId="38" fillId="9" borderId="5" xfId="22" applyNumberFormat="1" applyFont="1" applyFill="1" applyBorder="1" applyAlignment="1" applyProtection="1">
      <alignment vertical="center"/>
      <protection locked="0"/>
    </xf>
    <xf numFmtId="4" fontId="9" fillId="9" borderId="5" xfId="22" applyNumberFormat="1" applyFont="1" applyFill="1" applyBorder="1" applyAlignment="1" applyProtection="1">
      <alignment vertical="center"/>
      <protection locked="0"/>
    </xf>
    <xf numFmtId="4" fontId="37" fillId="15" borderId="0" xfId="22" applyNumberFormat="1" applyFont="1" applyFill="1" applyAlignment="1" applyProtection="1">
      <alignment vertical="center" wrapText="1"/>
      <protection locked="0"/>
    </xf>
    <xf numFmtId="4" fontId="37" fillId="15" borderId="0" xfId="22" applyNumberFormat="1" applyFont="1" applyFill="1" applyBorder="1" applyAlignment="1" applyProtection="1">
      <alignment vertical="center" wrapText="1"/>
      <protection locked="0"/>
    </xf>
    <xf numFmtId="4" fontId="37" fillId="15" borderId="0" xfId="10" applyNumberFormat="1" applyFont="1" applyFill="1" applyBorder="1" applyAlignment="1">
      <alignment vertical="center"/>
    </xf>
    <xf numFmtId="4" fontId="57" fillId="15" borderId="0" xfId="22" applyNumberFormat="1" applyFont="1" applyFill="1" applyAlignment="1" applyProtection="1">
      <alignment vertical="center" wrapText="1"/>
      <protection locked="0"/>
    </xf>
    <xf numFmtId="4" fontId="38" fillId="4" borderId="21" xfId="22" applyNumberFormat="1" applyFont="1" applyFill="1" applyBorder="1" applyAlignment="1" applyProtection="1">
      <alignment vertical="center"/>
      <protection locked="0"/>
    </xf>
    <xf numFmtId="4" fontId="9" fillId="0" borderId="0" xfId="22" applyNumberFormat="1" applyFont="1" applyAlignment="1" applyProtection="1">
      <alignment vertical="center"/>
      <protection locked="0"/>
    </xf>
    <xf numFmtId="4" fontId="9" fillId="15" borderId="0" xfId="22" applyNumberFormat="1" applyFont="1" applyFill="1" applyBorder="1" applyAlignment="1" applyProtection="1">
      <alignment vertical="center"/>
      <protection locked="0"/>
    </xf>
    <xf numFmtId="4" fontId="37" fillId="0" borderId="0" xfId="17" applyNumberFormat="1" applyFont="1"/>
    <xf numFmtId="4" fontId="37" fillId="15" borderId="0" xfId="17" applyNumberFormat="1" applyFont="1" applyFill="1" applyAlignment="1">
      <alignment vertical="center" wrapText="1"/>
    </xf>
    <xf numFmtId="4" fontId="9" fillId="4" borderId="22" xfId="22" applyNumberFormat="1" applyFont="1" applyFill="1" applyBorder="1" applyAlignment="1" applyProtection="1">
      <alignment vertical="center"/>
      <protection locked="0"/>
    </xf>
    <xf numFmtId="4" fontId="9" fillId="4" borderId="5" xfId="23" applyNumberFormat="1" applyFont="1" applyFill="1" applyBorder="1" applyAlignment="1" applyProtection="1">
      <alignment vertical="center"/>
      <protection locked="0"/>
    </xf>
    <xf numFmtId="4" fontId="17" fillId="9" borderId="0" xfId="17" applyNumberFormat="1" applyFill="1"/>
    <xf numFmtId="4" fontId="9" fillId="0" borderId="0" xfId="2" applyNumberFormat="1" applyFill="1" applyBorder="1" applyAlignment="1">
      <alignment vertical="center"/>
      <protection locked="0"/>
    </xf>
    <xf numFmtId="4" fontId="38" fillId="0" borderId="0" xfId="22" applyNumberFormat="1" applyFont="1" applyFill="1" applyBorder="1" applyAlignment="1" applyProtection="1">
      <alignment vertical="center"/>
      <protection locked="0"/>
    </xf>
    <xf numFmtId="4" fontId="38" fillId="15" borderId="0" xfId="22" applyNumberFormat="1" applyFont="1" applyFill="1" applyBorder="1" applyAlignment="1" applyProtection="1">
      <alignment vertical="center"/>
      <protection locked="0"/>
    </xf>
    <xf numFmtId="4" fontId="9" fillId="9" borderId="0" xfId="22" applyNumberFormat="1" applyFont="1" applyFill="1"/>
    <xf numFmtId="4" fontId="38" fillId="4" borderId="5" xfId="23" applyNumberFormat="1" applyFont="1" applyFill="1" applyBorder="1" applyAlignment="1" applyProtection="1">
      <alignment vertical="center"/>
      <protection locked="0"/>
    </xf>
    <xf numFmtId="4" fontId="38" fillId="0" borderId="0" xfId="0" applyNumberFormat="1" applyFont="1" applyAlignment="1">
      <alignment vertical="center"/>
    </xf>
    <xf numFmtId="4" fontId="38" fillId="0" borderId="0" xfId="22" applyNumberFormat="1" applyFont="1" applyAlignment="1" applyProtection="1">
      <alignment vertical="center"/>
      <protection locked="0"/>
    </xf>
    <xf numFmtId="4" fontId="38" fillId="15" borderId="0" xfId="22" applyNumberFormat="1" applyFont="1" applyFill="1" applyAlignment="1" applyProtection="1">
      <alignment vertical="center"/>
      <protection locked="0"/>
    </xf>
    <xf numFmtId="179" fontId="9" fillId="4" borderId="5" xfId="23" applyNumberFormat="1" applyFont="1" applyFill="1" applyBorder="1" applyAlignment="1" applyProtection="1">
      <alignment vertical="center"/>
      <protection locked="0"/>
    </xf>
    <xf numFmtId="179" fontId="38" fillId="4" borderId="5" xfId="23" applyNumberFormat="1" applyFont="1" applyFill="1" applyBorder="1" applyAlignment="1" applyProtection="1">
      <alignment vertical="center"/>
      <protection locked="0"/>
    </xf>
    <xf numFmtId="4" fontId="14" fillId="0" borderId="1" xfId="5" applyNumberFormat="1" applyAlignment="1">
      <alignment wrapText="1"/>
    </xf>
    <xf numFmtId="4" fontId="9" fillId="9" borderId="5" xfId="22" applyNumberFormat="1" applyFont="1" applyFill="1" applyBorder="1" applyAlignment="1" applyProtection="1">
      <alignment vertical="center" wrapText="1"/>
      <protection locked="0"/>
    </xf>
    <xf numFmtId="4" fontId="9" fillId="10" borderId="5" xfId="22" applyNumberFormat="1" applyFont="1" applyFill="1" applyBorder="1" applyAlignment="1">
      <alignment vertical="center" wrapText="1"/>
    </xf>
    <xf numFmtId="4" fontId="38" fillId="0" borderId="24" xfId="22" applyNumberFormat="1" applyFont="1" applyFill="1" applyBorder="1" applyAlignment="1" applyProtection="1">
      <alignment vertical="center" wrapText="1"/>
      <protection locked="0"/>
    </xf>
    <xf numFmtId="4" fontId="38" fillId="4" borderId="22" xfId="22" applyNumberFormat="1" applyFont="1" applyFill="1" applyBorder="1" applyAlignment="1" applyProtection="1">
      <alignment vertical="center" wrapText="1"/>
      <protection locked="0"/>
    </xf>
    <xf numFmtId="4" fontId="38" fillId="0" borderId="24" xfId="22" applyNumberFormat="1" applyFont="1" applyFill="1" applyBorder="1" applyAlignment="1" applyProtection="1">
      <alignment vertical="center"/>
      <protection locked="0"/>
    </xf>
    <xf numFmtId="4" fontId="38" fillId="4" borderId="5" xfId="22" applyNumberFormat="1" applyFont="1" applyFill="1" applyBorder="1" applyAlignment="1" applyProtection="1">
      <alignment horizontal="right" vertical="center"/>
      <protection locked="0"/>
    </xf>
    <xf numFmtId="4" fontId="9" fillId="4" borderId="5" xfId="22" applyNumberFormat="1" applyFont="1" applyFill="1" applyBorder="1" applyAlignment="1" applyProtection="1">
      <alignment horizontal="right" vertical="center" wrapText="1"/>
      <protection locked="0"/>
    </xf>
    <xf numFmtId="173" fontId="19" fillId="10" borderId="6" xfId="0" applyNumberFormat="1" applyFont="1" applyFill="1" applyBorder="1" applyAlignment="1">
      <alignment horizontal="center" vertical="center" wrapText="1"/>
    </xf>
    <xf numFmtId="4" fontId="0" fillId="10" borderId="6" xfId="0" applyNumberFormat="1" applyFill="1" applyBorder="1" applyAlignment="1">
      <alignment horizontal="center" vertical="center" wrapText="1"/>
    </xf>
    <xf numFmtId="167" fontId="0" fillId="10" borderId="6" xfId="0" applyNumberFormat="1" applyFill="1" applyBorder="1" applyAlignment="1">
      <alignment horizontal="center" vertical="center" wrapText="1"/>
    </xf>
    <xf numFmtId="164" fontId="0" fillId="10" borderId="6" xfId="0" applyNumberFormat="1" applyFill="1" applyBorder="1" applyAlignment="1">
      <alignment horizontal="center" vertical="center" wrapText="1"/>
    </xf>
    <xf numFmtId="4" fontId="37" fillId="0" borderId="0" xfId="22" applyNumberFormat="1" applyFont="1" applyAlignment="1">
      <alignment horizontal="right"/>
    </xf>
    <xf numFmtId="0" fontId="57" fillId="4" borderId="0" xfId="2" applyNumberFormat="1" applyFont="1" applyBorder="1" applyAlignment="1">
      <alignment vertical="center"/>
      <protection locked="0"/>
    </xf>
    <xf numFmtId="0" fontId="38" fillId="4" borderId="0" xfId="2" applyNumberFormat="1" applyFont="1" applyBorder="1" applyAlignment="1">
      <alignment vertical="center"/>
      <protection locked="0"/>
    </xf>
    <xf numFmtId="4" fontId="38" fillId="4" borderId="26" xfId="22" applyNumberFormat="1" applyFont="1" applyFill="1" applyBorder="1" applyAlignment="1" applyProtection="1">
      <alignment vertical="center" wrapText="1"/>
      <protection locked="0"/>
    </xf>
    <xf numFmtId="4" fontId="9" fillId="4" borderId="26" xfId="22" applyNumberFormat="1" applyFont="1" applyFill="1" applyBorder="1" applyAlignment="1" applyProtection="1">
      <alignment vertical="center" wrapText="1"/>
      <protection locked="0"/>
    </xf>
    <xf numFmtId="4" fontId="38" fillId="4" borderId="27" xfId="22" applyNumberFormat="1" applyFont="1" applyFill="1" applyBorder="1" applyAlignment="1" applyProtection="1">
      <alignment vertical="center"/>
      <protection locked="0"/>
    </xf>
    <xf numFmtId="4" fontId="9" fillId="4" borderId="27" xfId="22" applyNumberFormat="1" applyFont="1" applyFill="1" applyBorder="1" applyAlignment="1" applyProtection="1">
      <alignment vertical="center" wrapText="1"/>
      <protection locked="0"/>
    </xf>
    <xf numFmtId="43" fontId="37" fillId="4" borderId="0" xfId="22" applyFont="1" applyFill="1" applyBorder="1" applyAlignment="1" applyProtection="1">
      <alignment vertical="center"/>
      <protection locked="0"/>
    </xf>
    <xf numFmtId="4" fontId="37" fillId="15" borderId="0" xfId="22" applyNumberFormat="1" applyFont="1" applyFill="1" applyBorder="1" applyAlignment="1" applyProtection="1">
      <alignment vertical="center"/>
      <protection locked="0"/>
    </xf>
    <xf numFmtId="4" fontId="9" fillId="0" borderId="0" xfId="17" applyNumberFormat="1" applyFont="1" applyFill="1" applyBorder="1" applyAlignment="1">
      <alignment wrapText="1"/>
    </xf>
    <xf numFmtId="4" fontId="38" fillId="4" borderId="26" xfId="22" applyNumberFormat="1" applyFont="1" applyFill="1" applyBorder="1" applyAlignment="1" applyProtection="1">
      <alignment vertical="center"/>
      <protection locked="0"/>
    </xf>
    <xf numFmtId="4" fontId="17" fillId="0" borderId="0" xfId="17" applyNumberFormat="1" applyFill="1" applyBorder="1" applyAlignment="1">
      <alignment wrapText="1"/>
    </xf>
    <xf numFmtId="4" fontId="17" fillId="0" borderId="0" xfId="17" applyNumberFormat="1" applyFill="1" applyBorder="1"/>
    <xf numFmtId="4" fontId="0" fillId="0" borderId="6" xfId="0" applyNumberFormat="1" applyFill="1" applyBorder="1" applyAlignment="1">
      <alignment horizontal="center"/>
    </xf>
    <xf numFmtId="0" fontId="63" fillId="9" borderId="0" xfId="0" applyFont="1" applyFill="1" applyAlignment="1"/>
    <xf numFmtId="43" fontId="0" fillId="10" borderId="6" xfId="22" applyFont="1" applyFill="1" applyBorder="1" applyAlignment="1">
      <alignment horizontal="right" vertical="center" wrapText="1"/>
    </xf>
    <xf numFmtId="0" fontId="3" fillId="0" borderId="0" xfId="0" applyFont="1"/>
    <xf numFmtId="4" fontId="38" fillId="0" borderId="0" xfId="17" applyNumberFormat="1" applyFont="1"/>
    <xf numFmtId="0" fontId="37" fillId="9" borderId="0" xfId="2" applyNumberFormat="1" applyFont="1" applyFill="1" applyAlignment="1" applyProtection="1">
      <alignment horizontal="left" vertical="center"/>
    </xf>
    <xf numFmtId="173" fontId="0" fillId="10" borderId="6" xfId="0" applyNumberFormat="1" applyFont="1" applyFill="1" applyBorder="1" applyAlignment="1">
      <alignment horizontal="center" vertical="center" wrapText="1"/>
    </xf>
    <xf numFmtId="4" fontId="37" fillId="4" borderId="6" xfId="2" applyNumberFormat="1" applyFont="1" applyBorder="1" applyAlignment="1">
      <alignment horizontal="right" vertical="center"/>
      <protection locked="0"/>
    </xf>
    <xf numFmtId="4" fontId="19" fillId="19" borderId="6" xfId="17" applyNumberFormat="1" applyFont="1" applyFill="1" applyBorder="1" applyAlignment="1">
      <alignment horizontal="right"/>
    </xf>
    <xf numFmtId="4" fontId="19" fillId="16" borderId="6" xfId="17" applyNumberFormat="1" applyFont="1" applyFill="1" applyBorder="1" applyAlignment="1">
      <alignment horizontal="right"/>
    </xf>
    <xf numFmtId="4" fontId="19" fillId="15" borderId="6" xfId="17" applyNumberFormat="1" applyFont="1" applyFill="1" applyBorder="1" applyAlignment="1">
      <alignment horizontal="right" wrapText="1"/>
    </xf>
    <xf numFmtId="4" fontId="19" fillId="27" borderId="6" xfId="17" applyNumberFormat="1" applyFont="1" applyFill="1" applyBorder="1" applyAlignment="1">
      <alignment horizontal="right"/>
    </xf>
    <xf numFmtId="0" fontId="2" fillId="0" borderId="0" xfId="13" applyFont="1"/>
    <xf numFmtId="0" fontId="44" fillId="0" borderId="6" xfId="26" applyFont="1" applyFill="1" applyBorder="1" applyAlignment="1">
      <alignment vertical="center" wrapText="1"/>
    </xf>
    <xf numFmtId="0" fontId="44" fillId="0" borderId="6" xfId="26" applyFont="1" applyBorder="1" applyAlignment="1">
      <alignment vertical="center" wrapText="1"/>
    </xf>
    <xf numFmtId="0" fontId="0" fillId="9" borderId="6" xfId="0" applyFill="1" applyBorder="1" applyAlignment="1">
      <alignment horizontal="left" vertical="center" wrapText="1"/>
    </xf>
    <xf numFmtId="0" fontId="0" fillId="0" borderId="8" xfId="0" applyBorder="1" applyAlignment="1">
      <alignment horizontal="left"/>
    </xf>
    <xf numFmtId="0" fontId="0" fillId="0" borderId="9" xfId="0" applyBorder="1" applyAlignment="1">
      <alignment horizontal="left"/>
    </xf>
    <xf numFmtId="0" fontId="0" fillId="0" borderId="10"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0" fillId="0" borderId="17" xfId="0" applyBorder="1" applyAlignment="1">
      <alignment horizontal="left"/>
    </xf>
    <xf numFmtId="0" fontId="0" fillId="0" borderId="0" xfId="0" applyAlignment="1">
      <alignment horizontal="left"/>
    </xf>
    <xf numFmtId="0" fontId="0" fillId="0" borderId="0" xfId="0" applyAlignment="1">
      <alignment horizontal="left" wrapText="1"/>
    </xf>
    <xf numFmtId="0" fontId="60" fillId="0" borderId="0" xfId="0" applyFont="1" applyAlignment="1">
      <alignment horizontal="left"/>
    </xf>
    <xf numFmtId="0" fontId="19" fillId="0" borderId="0" xfId="0" applyFont="1" applyAlignment="1">
      <alignment horizontal="left"/>
    </xf>
    <xf numFmtId="0" fontId="0" fillId="0" borderId="6" xfId="0" applyBorder="1" applyAlignment="1">
      <alignment horizontal="left"/>
    </xf>
    <xf numFmtId="0" fontId="69" fillId="15" borderId="7" xfId="0" applyFont="1" applyFill="1" applyBorder="1" applyAlignment="1">
      <alignment horizontal="left"/>
    </xf>
    <xf numFmtId="0" fontId="0" fillId="9" borderId="9" xfId="0" applyFill="1" applyBorder="1" applyAlignment="1">
      <alignment horizontal="center" vertical="top" wrapText="1"/>
    </xf>
    <xf numFmtId="0" fontId="75" fillId="9" borderId="14" xfId="0" applyFont="1" applyFill="1" applyBorder="1" applyAlignment="1">
      <alignment horizontal="center" vertical="center" wrapText="1"/>
    </xf>
    <xf numFmtId="0" fontId="0" fillId="9" borderId="7" xfId="0" applyFill="1" applyBorder="1" applyAlignment="1">
      <alignment horizontal="left"/>
    </xf>
    <xf numFmtId="0" fontId="0" fillId="9" borderId="0" xfId="0" applyFill="1" applyAlignment="1">
      <alignment horizontal="left"/>
    </xf>
    <xf numFmtId="0" fontId="69" fillId="15" borderId="11" xfId="0" applyFont="1" applyFill="1" applyBorder="1" applyAlignment="1">
      <alignment horizontal="left"/>
    </xf>
    <xf numFmtId="0" fontId="0" fillId="9" borderId="15" xfId="0" applyFill="1" applyBorder="1" applyAlignment="1">
      <alignment horizontal="left" vertical="top" wrapText="1"/>
    </xf>
    <xf numFmtId="0" fontId="0" fillId="9" borderId="7" xfId="0" applyFill="1" applyBorder="1" applyAlignment="1">
      <alignment horizontal="left" wrapText="1"/>
    </xf>
    <xf numFmtId="0" fontId="0" fillId="9" borderId="15" xfId="0" applyFill="1" applyBorder="1" applyAlignment="1">
      <alignment horizontal="left"/>
    </xf>
    <xf numFmtId="0" fontId="0" fillId="9" borderId="7" xfId="0" applyFill="1" applyBorder="1" applyAlignment="1">
      <alignment horizontal="left" vertical="top" wrapText="1"/>
    </xf>
    <xf numFmtId="0" fontId="0" fillId="9" borderId="0" xfId="0" applyFill="1" applyAlignment="1">
      <alignment horizontal="left" vertical="top" wrapText="1"/>
    </xf>
    <xf numFmtId="0" fontId="0" fillId="9" borderId="7" xfId="0" applyFill="1" applyBorder="1" applyAlignment="1">
      <alignment horizontal="left" vertical="top"/>
    </xf>
    <xf numFmtId="0" fontId="0" fillId="9" borderId="16" xfId="0" applyFill="1" applyBorder="1" applyAlignment="1">
      <alignment horizontal="left" vertical="top"/>
    </xf>
    <xf numFmtId="0" fontId="0" fillId="0" borderId="7" xfId="0" applyBorder="1" applyAlignment="1">
      <alignment horizontal="left" vertical="top" wrapText="1"/>
    </xf>
    <xf numFmtId="0" fontId="0" fillId="0" borderId="0" xfId="0" applyAlignment="1">
      <alignment horizontal="left" vertical="top" wrapText="1"/>
    </xf>
    <xf numFmtId="0" fontId="0" fillId="9" borderId="15" xfId="0" applyFill="1" applyBorder="1" applyAlignment="1">
      <alignment horizontal="left" wrapText="1"/>
    </xf>
    <xf numFmtId="0" fontId="97" fillId="9" borderId="0" xfId="0" applyFont="1" applyFill="1" applyAlignment="1">
      <alignment horizontal="center"/>
    </xf>
    <xf numFmtId="0" fontId="37" fillId="9" borderId="0" xfId="2" applyNumberFormat="1" applyFont="1" applyFill="1" applyAlignment="1" applyProtection="1">
      <alignment horizontal="left" vertical="center"/>
    </xf>
    <xf numFmtId="0" fontId="0" fillId="9" borderId="15" xfId="0" applyFill="1" applyBorder="1" applyAlignment="1">
      <alignment horizontal="left" vertical="top"/>
    </xf>
    <xf numFmtId="0" fontId="42" fillId="10" borderId="6" xfId="26" applyFill="1" applyBorder="1" applyAlignment="1" applyProtection="1">
      <alignment horizontal="center"/>
    </xf>
    <xf numFmtId="0" fontId="89" fillId="10" borderId="6" xfId="26" applyFont="1" applyFill="1" applyBorder="1" applyAlignment="1" applyProtection="1">
      <alignment horizontal="center"/>
    </xf>
    <xf numFmtId="0" fontId="19" fillId="15" borderId="8" xfId="0" applyFont="1" applyFill="1" applyBorder="1" applyAlignment="1">
      <alignment horizontal="center" wrapText="1"/>
    </xf>
    <xf numFmtId="0" fontId="19" fillId="15" borderId="9" xfId="0" applyFont="1" applyFill="1" applyBorder="1" applyAlignment="1">
      <alignment horizontal="center" wrapText="1"/>
    </xf>
    <xf numFmtId="0" fontId="19" fillId="15" borderId="10" xfId="0" applyFont="1" applyFill="1" applyBorder="1" applyAlignment="1">
      <alignment horizontal="center" wrapText="1"/>
    </xf>
    <xf numFmtId="0" fontId="19" fillId="15" borderId="8" xfId="0" applyFont="1" applyFill="1" applyBorder="1" applyAlignment="1">
      <alignment horizontal="center"/>
    </xf>
    <xf numFmtId="0" fontId="19" fillId="15" borderId="9" xfId="0" applyFont="1" applyFill="1" applyBorder="1" applyAlignment="1">
      <alignment horizontal="center"/>
    </xf>
    <xf numFmtId="0" fontId="19" fillId="15" borderId="10" xfId="0" applyFont="1" applyFill="1" applyBorder="1" applyAlignment="1">
      <alignment horizontal="center"/>
    </xf>
    <xf numFmtId="0" fontId="44" fillId="0" borderId="18" xfId="26" applyFont="1" applyFill="1" applyBorder="1" applyAlignment="1">
      <alignment horizontal="left" vertical="center"/>
    </xf>
    <xf numFmtId="0" fontId="44" fillId="0" borderId="20" xfId="26" applyFont="1" applyFill="1" applyBorder="1" applyAlignment="1">
      <alignment horizontal="left" vertical="center"/>
    </xf>
    <xf numFmtId="0" fontId="44" fillId="0" borderId="19" xfId="26" applyFont="1" applyFill="1" applyBorder="1" applyAlignment="1">
      <alignment horizontal="left" vertical="center"/>
    </xf>
    <xf numFmtId="9" fontId="9" fillId="10" borderId="18" xfId="0" applyNumberFormat="1" applyFont="1" applyFill="1" applyBorder="1" applyAlignment="1">
      <alignment horizontal="center" vertical="center"/>
    </xf>
    <xf numFmtId="9" fontId="9" fillId="10" borderId="20" xfId="0" applyNumberFormat="1" applyFont="1" applyFill="1" applyBorder="1" applyAlignment="1">
      <alignment horizontal="center" vertical="center"/>
    </xf>
    <xf numFmtId="9" fontId="9" fillId="10" borderId="19" xfId="0" applyNumberFormat="1" applyFont="1" applyFill="1" applyBorder="1" applyAlignment="1">
      <alignment horizontal="center" vertical="center"/>
    </xf>
    <xf numFmtId="4" fontId="0" fillId="10" borderId="18" xfId="0" applyNumberFormat="1" applyFill="1" applyBorder="1" applyAlignment="1">
      <alignment horizontal="center" vertical="center"/>
    </xf>
    <xf numFmtId="4" fontId="0" fillId="10" borderId="20" xfId="0" applyNumberFormat="1" applyFill="1" applyBorder="1" applyAlignment="1">
      <alignment horizontal="center" vertical="center"/>
    </xf>
    <xf numFmtId="4" fontId="0" fillId="10" borderId="19" xfId="0" applyNumberFormat="1" applyFill="1" applyBorder="1" applyAlignment="1">
      <alignment horizontal="center" vertical="center"/>
    </xf>
    <xf numFmtId="9" fontId="0" fillId="10" borderId="18" xfId="0" applyNumberFormat="1" applyFill="1" applyBorder="1" applyAlignment="1">
      <alignment horizontal="center" vertical="center"/>
    </xf>
    <xf numFmtId="9" fontId="0" fillId="10" borderId="20" xfId="0" applyNumberFormat="1" applyFill="1" applyBorder="1" applyAlignment="1">
      <alignment horizontal="center" vertical="center"/>
    </xf>
    <xf numFmtId="9" fontId="0" fillId="10" borderId="19" xfId="0" applyNumberFormat="1" applyFill="1" applyBorder="1" applyAlignment="1">
      <alignment horizontal="center" vertical="center"/>
    </xf>
    <xf numFmtId="0" fontId="44" fillId="0" borderId="18" xfId="26" applyFont="1" applyBorder="1" applyAlignment="1">
      <alignment horizontal="left" vertical="center"/>
    </xf>
    <xf numFmtId="0" fontId="44" fillId="0" borderId="20" xfId="26" applyFont="1" applyBorder="1" applyAlignment="1">
      <alignment horizontal="left" vertical="center"/>
    </xf>
    <xf numFmtId="0" fontId="44" fillId="0" borderId="19" xfId="26" applyFont="1" applyBorder="1" applyAlignment="1">
      <alignment horizontal="left" vertical="center"/>
    </xf>
    <xf numFmtId="0" fontId="44" fillId="0" borderId="18" xfId="26" applyFont="1" applyBorder="1" applyAlignment="1">
      <alignment horizontal="left" vertical="center" wrapText="1"/>
    </xf>
    <xf numFmtId="0" fontId="44" fillId="0" borderId="19" xfId="26" applyFont="1" applyBorder="1" applyAlignment="1">
      <alignment horizontal="left" vertical="center" wrapText="1"/>
    </xf>
    <xf numFmtId="0" fontId="0" fillId="0" borderId="11" xfId="0" applyBorder="1"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0" fillId="0" borderId="6" xfId="0" applyBorder="1" applyAlignment="1">
      <alignment horizontal="center" vertical="center" wrapText="1"/>
    </xf>
    <xf numFmtId="173" fontId="79" fillId="3" borderId="18" xfId="0" applyNumberFormat="1" applyFont="1" applyFill="1" applyBorder="1" applyAlignment="1">
      <alignment horizontal="center" vertical="center"/>
    </xf>
    <xf numFmtId="173" fontId="79" fillId="3" borderId="20" xfId="0" applyNumberFormat="1" applyFont="1" applyFill="1" applyBorder="1" applyAlignment="1">
      <alignment horizontal="center" vertical="center"/>
    </xf>
    <xf numFmtId="173" fontId="79" fillId="3" borderId="19" xfId="0" applyNumberFormat="1" applyFont="1" applyFill="1" applyBorder="1" applyAlignment="1">
      <alignment horizontal="center" vertical="center"/>
    </xf>
    <xf numFmtId="0" fontId="44" fillId="0" borderId="18" xfId="26" applyFont="1" applyFill="1" applyBorder="1" applyAlignment="1">
      <alignment horizontal="left" vertical="center" wrapText="1"/>
    </xf>
    <xf numFmtId="0" fontId="44" fillId="0" borderId="19" xfId="26" applyFont="1" applyFill="1" applyBorder="1" applyAlignment="1">
      <alignment horizontal="left" vertical="center" wrapText="1"/>
    </xf>
    <xf numFmtId="0" fontId="44" fillId="10" borderId="18" xfId="26" applyFont="1" applyFill="1" applyBorder="1" applyAlignment="1">
      <alignment horizontal="left" vertical="center"/>
    </xf>
    <xf numFmtId="0" fontId="44" fillId="10" borderId="20" xfId="26" applyFont="1" applyFill="1" applyBorder="1" applyAlignment="1">
      <alignment horizontal="left" vertical="center"/>
    </xf>
    <xf numFmtId="0" fontId="44" fillId="10" borderId="19" xfId="26" applyFont="1" applyFill="1" applyBorder="1" applyAlignment="1">
      <alignment horizontal="left" vertical="center"/>
    </xf>
    <xf numFmtId="4" fontId="0" fillId="10" borderId="6" xfId="0" applyNumberFormat="1" applyFill="1" applyBorder="1" applyAlignment="1">
      <alignment horizontal="center" vertical="center"/>
    </xf>
    <xf numFmtId="0" fontId="0" fillId="10" borderId="6" xfId="0" applyFill="1" applyBorder="1" applyAlignment="1">
      <alignment horizontal="center" vertical="center"/>
    </xf>
    <xf numFmtId="173" fontId="19" fillId="10" borderId="18" xfId="0" applyNumberFormat="1" applyFont="1" applyFill="1" applyBorder="1" applyAlignment="1">
      <alignment horizontal="center" vertical="center"/>
    </xf>
    <xf numFmtId="173" fontId="19" fillId="10" borderId="20" xfId="0" applyNumberFormat="1" applyFont="1" applyFill="1" applyBorder="1" applyAlignment="1">
      <alignment horizontal="center" vertical="center"/>
    </xf>
    <xf numFmtId="173" fontId="19" fillId="10" borderId="19" xfId="0" applyNumberFormat="1" applyFont="1" applyFill="1" applyBorder="1" applyAlignment="1">
      <alignment horizontal="center" vertical="center"/>
    </xf>
    <xf numFmtId="4" fontId="0" fillId="10" borderId="18" xfId="0" applyNumberFormat="1" applyFill="1" applyBorder="1" applyAlignment="1">
      <alignment horizontal="center" vertical="center" wrapText="1"/>
    </xf>
    <xf numFmtId="4" fontId="0" fillId="10" borderId="20" xfId="0" applyNumberFormat="1" applyFill="1" applyBorder="1" applyAlignment="1">
      <alignment horizontal="center" vertical="center" wrapText="1"/>
    </xf>
    <xf numFmtId="4" fontId="0" fillId="10" borderId="19" xfId="0" applyNumberFormat="1" applyFill="1" applyBorder="1" applyAlignment="1">
      <alignment horizontal="center" vertical="center" wrapText="1"/>
    </xf>
    <xf numFmtId="9" fontId="9" fillId="10" borderId="18" xfId="23" applyFont="1" applyFill="1" applyBorder="1" applyAlignment="1">
      <alignment horizontal="center" vertical="center"/>
    </xf>
    <xf numFmtId="9" fontId="9" fillId="10" borderId="20" xfId="23" applyFont="1" applyFill="1" applyBorder="1" applyAlignment="1">
      <alignment horizontal="center" vertical="center"/>
    </xf>
    <xf numFmtId="9" fontId="9" fillId="10" borderId="19" xfId="23" applyFont="1" applyFill="1" applyBorder="1" applyAlignment="1">
      <alignment horizontal="center" vertical="center"/>
    </xf>
    <xf numFmtId="9" fontId="9" fillId="10" borderId="18" xfId="0" applyNumberFormat="1" applyFont="1" applyFill="1" applyBorder="1" applyAlignment="1">
      <alignment horizontal="center"/>
    </xf>
    <xf numFmtId="9" fontId="9" fillId="10" borderId="20" xfId="0" applyNumberFormat="1" applyFont="1" applyFill="1" applyBorder="1" applyAlignment="1">
      <alignment horizontal="center"/>
    </xf>
    <xf numFmtId="9" fontId="9" fillId="10" borderId="19" xfId="0" applyNumberFormat="1" applyFont="1" applyFill="1" applyBorder="1" applyAlignment="1">
      <alignment horizontal="center"/>
    </xf>
    <xf numFmtId="0" fontId="67" fillId="20" borderId="8" xfId="0" applyFont="1" applyFill="1" applyBorder="1" applyAlignment="1">
      <alignment horizontal="center"/>
    </xf>
    <xf numFmtId="0" fontId="67" fillId="20" borderId="6" xfId="0" applyFont="1" applyFill="1" applyBorder="1" applyAlignment="1">
      <alignment horizontal="center"/>
    </xf>
    <xf numFmtId="0" fontId="67" fillId="20" borderId="9" xfId="0" applyFont="1" applyFill="1" applyBorder="1" applyAlignment="1">
      <alignment horizontal="center"/>
    </xf>
    <xf numFmtId="0" fontId="67" fillId="20" borderId="10" xfId="0" applyFont="1" applyFill="1" applyBorder="1" applyAlignment="1">
      <alignment horizontal="center"/>
    </xf>
    <xf numFmtId="0" fontId="67" fillId="20" borderId="8" xfId="26" applyFont="1" applyFill="1" applyBorder="1" applyAlignment="1">
      <alignment horizontal="center"/>
    </xf>
    <xf numFmtId="0" fontId="67" fillId="20" borderId="9" xfId="26" applyFont="1" applyFill="1" applyBorder="1" applyAlignment="1">
      <alignment horizontal="center"/>
    </xf>
    <xf numFmtId="0" fontId="67" fillId="20" borderId="10" xfId="26" applyFont="1" applyFill="1" applyBorder="1" applyAlignment="1">
      <alignment horizontal="center"/>
    </xf>
    <xf numFmtId="0" fontId="53" fillId="9" borderId="0" xfId="0" applyFont="1" applyFill="1" applyAlignment="1">
      <alignment horizontal="left" vertical="center"/>
    </xf>
    <xf numFmtId="0" fontId="53" fillId="9" borderId="0" xfId="0" applyFont="1" applyFill="1" applyAlignment="1">
      <alignment horizontal="left" vertical="center" wrapText="1"/>
    </xf>
  </cellXfs>
  <cellStyles count="68">
    <cellStyle name="60% - Accent1 4 2" xfId="31" xr:uid="{00000000-0005-0000-0000-000000000000}"/>
    <cellStyle name="Accent1" xfId="67" builtinId="29"/>
    <cellStyle name="Calculation - 1" xfId="3" xr:uid="{00000000-0005-0000-0000-000001000000}"/>
    <cellStyle name="Calculation - 2" xfId="1" xr:uid="{00000000-0005-0000-0000-000002000000}"/>
    <cellStyle name="Calculation - 3" xfId="11" xr:uid="{00000000-0005-0000-0000-000003000000}"/>
    <cellStyle name="Comma" xfId="22" builtinId="3"/>
    <cellStyle name="Comma 141" xfId="32" xr:uid="{00000000-0005-0000-0000-000005000000}"/>
    <cellStyle name="Comma 2" xfId="20" xr:uid="{00000000-0005-0000-0000-000006000000}"/>
    <cellStyle name="Comma 5" xfId="16" xr:uid="{00000000-0005-0000-0000-000007000000}"/>
    <cellStyle name="Free Entry" xfId="2" xr:uid="{00000000-0005-0000-0000-000008000000}"/>
    <cellStyle name="Heading - 1" xfId="5" xr:uid="{00000000-0005-0000-0000-000009000000}"/>
    <cellStyle name="Heading - 2" xfId="9" xr:uid="{00000000-0005-0000-0000-00000A000000}"/>
    <cellStyle name="Hyperlink" xfId="26" builtinId="8"/>
    <cellStyle name="Linked Cell 2 8" xfId="33" xr:uid="{00000000-0005-0000-0000-00000C000000}"/>
    <cellStyle name="Listed Input" xfId="12" xr:uid="{00000000-0005-0000-0000-00000D000000}"/>
    <cellStyle name="Listed Input 2" xfId="21" xr:uid="{00000000-0005-0000-0000-00000E000000}"/>
    <cellStyle name="Named Range" xfId="8" xr:uid="{00000000-0005-0000-0000-00000F000000}"/>
    <cellStyle name="Normal" xfId="0" builtinId="0" customBuiltin="1"/>
    <cellStyle name="Normal - Style1 2" xfId="34" xr:uid="{00000000-0005-0000-0000-000011000000}"/>
    <cellStyle name="Normal 10 10" xfId="35" xr:uid="{00000000-0005-0000-0000-000012000000}"/>
    <cellStyle name="Normal 10 10 4" xfId="36" xr:uid="{00000000-0005-0000-0000-000013000000}"/>
    <cellStyle name="Normal 10 10 5" xfId="37" xr:uid="{00000000-0005-0000-0000-000014000000}"/>
    <cellStyle name="Normal 10 13" xfId="38" xr:uid="{00000000-0005-0000-0000-000015000000}"/>
    <cellStyle name="Normal 119" xfId="39" xr:uid="{00000000-0005-0000-0000-000016000000}"/>
    <cellStyle name="Normal 119 2" xfId="40" xr:uid="{00000000-0005-0000-0000-000017000000}"/>
    <cellStyle name="Normal 134 2 2" xfId="41" xr:uid="{00000000-0005-0000-0000-000018000000}"/>
    <cellStyle name="Normal 155 2" xfId="42" xr:uid="{00000000-0005-0000-0000-000019000000}"/>
    <cellStyle name="Normal 156" xfId="43" xr:uid="{00000000-0005-0000-0000-00001A000000}"/>
    <cellStyle name="Normal 157" xfId="44" xr:uid="{00000000-0005-0000-0000-00001B000000}"/>
    <cellStyle name="Normal 164" xfId="45" xr:uid="{00000000-0005-0000-0000-00001C000000}"/>
    <cellStyle name="Normal 165" xfId="46" xr:uid="{00000000-0005-0000-0000-00001D000000}"/>
    <cellStyle name="Normal 166" xfId="47" xr:uid="{00000000-0005-0000-0000-00001E000000}"/>
    <cellStyle name="Normal 167" xfId="48" xr:uid="{00000000-0005-0000-0000-00001F000000}"/>
    <cellStyle name="Normal 168" xfId="49" xr:uid="{00000000-0005-0000-0000-000020000000}"/>
    <cellStyle name="Normal 169" xfId="50" xr:uid="{00000000-0005-0000-0000-000021000000}"/>
    <cellStyle name="Normal 170" xfId="51" xr:uid="{00000000-0005-0000-0000-000022000000}"/>
    <cellStyle name="Normal 2" xfId="13" xr:uid="{00000000-0005-0000-0000-000023000000}"/>
    <cellStyle name="Normal 2 10" xfId="52" xr:uid="{00000000-0005-0000-0000-000024000000}"/>
    <cellStyle name="Normal 2 2" xfId="30" xr:uid="{00000000-0005-0000-0000-000025000000}"/>
    <cellStyle name="Normal 2 2 9 3" xfId="53" xr:uid="{00000000-0005-0000-0000-000026000000}"/>
    <cellStyle name="Normal 2 24" xfId="54" xr:uid="{00000000-0005-0000-0000-000027000000}"/>
    <cellStyle name="Normal 2 25" xfId="55" xr:uid="{00000000-0005-0000-0000-000028000000}"/>
    <cellStyle name="Normal 2 61" xfId="17" xr:uid="{00000000-0005-0000-0000-000029000000}"/>
    <cellStyle name="Normal 3" xfId="24" xr:uid="{00000000-0005-0000-0000-00002A000000}"/>
    <cellStyle name="Normal 3 2" xfId="56" xr:uid="{00000000-0005-0000-0000-00002B000000}"/>
    <cellStyle name="Normal 3 2 2" xfId="29" xr:uid="{00000000-0005-0000-0000-00002C000000}"/>
    <cellStyle name="Normal 4" xfId="14" xr:uid="{00000000-0005-0000-0000-00002D000000}"/>
    <cellStyle name="Normal 4 2" xfId="15" xr:uid="{00000000-0005-0000-0000-00002E000000}"/>
    <cellStyle name="Normal 5" xfId="28" xr:uid="{00000000-0005-0000-0000-00002F000000}"/>
    <cellStyle name="Normal 56" xfId="27" xr:uid="{00000000-0005-0000-0000-000030000000}"/>
    <cellStyle name="Normal 83" xfId="57" xr:uid="{00000000-0005-0000-0000-000031000000}"/>
    <cellStyle name="Normal_Conversion_gal and bbl_final1_updated" xfId="18" xr:uid="{00000000-0005-0000-0000-000032000000}"/>
    <cellStyle name="Normal_European Ethanol SD model_15_clean" xfId="19" xr:uid="{00000000-0005-0000-0000-000034000000}"/>
    <cellStyle name="Percent" xfId="23" builtinId="5"/>
    <cellStyle name="Percent 2" xfId="25" xr:uid="{00000000-0005-0000-0000-000036000000}"/>
    <cellStyle name="Percent 2 14" xfId="58" xr:uid="{00000000-0005-0000-0000-000037000000}"/>
    <cellStyle name="Percent 2 21 2" xfId="59" xr:uid="{00000000-0005-0000-0000-000038000000}"/>
    <cellStyle name="Percent 7 2 2 2 2" xfId="60" xr:uid="{00000000-0005-0000-0000-000039000000}"/>
    <cellStyle name="Percent 87" xfId="61" xr:uid="{00000000-0005-0000-0000-00003A000000}"/>
    <cellStyle name="Percent 90" xfId="62" xr:uid="{00000000-0005-0000-0000-00003B000000}"/>
    <cellStyle name="Percent 92" xfId="63" xr:uid="{00000000-0005-0000-0000-00003C000000}"/>
    <cellStyle name="Percent 98" xfId="64" xr:uid="{00000000-0005-0000-0000-00003D000000}"/>
    <cellStyle name="Reference" xfId="7" xr:uid="{00000000-0005-0000-0000-00003E000000}"/>
    <cellStyle name="Sheet Title" xfId="4" xr:uid="{00000000-0005-0000-0000-00003F000000}"/>
    <cellStyle name="Sub heading - 1" xfId="10" xr:uid="{00000000-0005-0000-0000-000040000000}"/>
    <cellStyle name="Sub heading - 2" xfId="6" xr:uid="{00000000-0005-0000-0000-000041000000}"/>
    <cellStyle name="Title 1" xfId="65" xr:uid="{00000000-0005-0000-0000-000042000000}"/>
    <cellStyle name="Title 3 2" xfId="66" xr:uid="{00000000-0005-0000-0000-000043000000}"/>
  </cellStyles>
  <dxfs count="129">
    <dxf>
      <fill>
        <patternFill>
          <bgColor theme="7" tint="0.79998168889431442"/>
        </patternFill>
      </fill>
    </dxf>
    <dxf>
      <font>
        <color theme="0"/>
      </font>
      <fill>
        <patternFill>
          <bgColor theme="0"/>
        </patternFill>
      </fill>
      <border>
        <left/>
        <right/>
        <top/>
        <bottom/>
        <vertical/>
        <horizontal/>
      </border>
    </dxf>
    <dxf>
      <fill>
        <patternFill>
          <bgColor rgb="FFFF0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tint="-4.9989318521683403E-2"/>
        </patternFill>
      </fill>
      <border>
        <left/>
        <right/>
        <top/>
        <bottom/>
      </border>
    </dxf>
    <dxf>
      <font>
        <color theme="0"/>
      </font>
      <fill>
        <patternFill>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ill>
        <patternFill patternType="solid">
          <fgColor theme="7" tint="0.59999389629810485"/>
          <bgColor theme="7" tint="0.59999389629810485"/>
        </patternFill>
      </fill>
    </dxf>
    <dxf>
      <fill>
        <patternFill patternType="solid">
          <fgColor theme="7" tint="0.59999389629810485"/>
          <bgColor theme="7" tint="0.59999389629810485"/>
        </patternFill>
      </fill>
    </dxf>
    <dxf>
      <font>
        <b/>
        <color theme="0"/>
      </font>
      <fill>
        <patternFill patternType="solid">
          <fgColor theme="7"/>
          <bgColor theme="7"/>
        </patternFill>
      </fill>
    </dxf>
    <dxf>
      <font>
        <b/>
        <color theme="0"/>
      </font>
      <fill>
        <patternFill patternType="solid">
          <fgColor theme="7"/>
          <bgColor theme="7"/>
        </patternFill>
      </fill>
    </dxf>
    <dxf>
      <font>
        <b/>
        <color theme="0"/>
      </font>
      <fill>
        <patternFill patternType="solid">
          <fgColor theme="7"/>
          <bgColor theme="7"/>
        </patternFill>
      </fill>
      <border>
        <top style="thick">
          <color theme="0"/>
        </top>
      </border>
    </dxf>
    <dxf>
      <font>
        <b/>
        <color theme="0"/>
      </font>
      <fill>
        <patternFill patternType="solid">
          <fgColor theme="7"/>
          <bgColor theme="7"/>
        </patternFill>
      </fill>
      <border>
        <bottom style="thick">
          <color theme="0"/>
        </bottom>
      </border>
    </dxf>
    <dxf>
      <font>
        <color theme="1"/>
      </font>
      <fill>
        <patternFill patternType="solid">
          <fgColor theme="7" tint="0.79998168889431442"/>
          <bgColor theme="7" tint="0.79998168889431442"/>
        </patternFill>
      </fill>
      <border>
        <vertical style="thin">
          <color theme="0"/>
        </vertical>
        <horizontal style="thin">
          <color theme="0"/>
        </horizontal>
      </border>
    </dxf>
    <dxf>
      <fill>
        <patternFill patternType="solid">
          <fgColor theme="6" tint="0.59999389629810485"/>
          <bgColor theme="6" tint="0.59999389629810485"/>
        </patternFill>
      </fill>
    </dxf>
    <dxf>
      <fill>
        <patternFill patternType="solid">
          <fgColor theme="6" tint="0.59999389629810485"/>
          <bgColor theme="6" tint="0.59999389629810485"/>
        </patternFill>
      </fill>
    </dxf>
    <dxf>
      <font>
        <b/>
        <color theme="0"/>
      </font>
      <fill>
        <patternFill patternType="solid">
          <fgColor theme="6"/>
          <bgColor theme="6"/>
        </patternFill>
      </fill>
    </dxf>
    <dxf>
      <font>
        <b/>
        <color theme="0"/>
      </font>
      <fill>
        <patternFill patternType="solid">
          <fgColor theme="6"/>
          <bgColor theme="6"/>
        </patternFill>
      </fill>
    </dxf>
    <dxf>
      <font>
        <b/>
        <color theme="0"/>
      </font>
      <fill>
        <patternFill patternType="solid">
          <fgColor theme="6"/>
          <bgColor theme="6"/>
        </patternFill>
      </fill>
      <border>
        <top style="thick">
          <color theme="0"/>
        </top>
      </border>
    </dxf>
    <dxf>
      <font>
        <b/>
        <color theme="0"/>
      </font>
      <fill>
        <patternFill patternType="solid">
          <fgColor theme="6"/>
          <bgColor theme="6"/>
        </patternFill>
      </fill>
      <border>
        <bottom style="thick">
          <color theme="0"/>
        </bottom>
      </border>
    </dxf>
    <dxf>
      <font>
        <color theme="1"/>
      </font>
      <fill>
        <patternFill patternType="solid">
          <fgColor theme="6" tint="0.79998168889431442"/>
          <bgColor theme="6" tint="0.79998168889431442"/>
        </patternFill>
      </fill>
      <border>
        <vertical style="thin">
          <color theme="0"/>
        </vertical>
        <horizontal style="thin">
          <color theme="0"/>
        </horizontal>
      </border>
    </dxf>
    <dxf>
      <fill>
        <patternFill patternType="solid">
          <fgColor theme="7" tint="0.79998168889431442"/>
          <bgColor theme="7" tint="0.79998168889431442"/>
        </patternFill>
      </fill>
    </dxf>
    <dxf>
      <fill>
        <patternFill patternType="solid">
          <fgColor theme="7" tint="0.79995117038483843"/>
          <bgColor theme="7" tint="0.59996337778862885"/>
        </patternFill>
      </fill>
    </dxf>
    <dxf>
      <font>
        <b/>
        <color theme="7" tint="-0.249977111117893"/>
      </font>
    </dxf>
    <dxf>
      <font>
        <b/>
        <color theme="7" tint="-0.249977111117893"/>
      </font>
    </dxf>
    <dxf>
      <font>
        <b/>
        <color theme="7" tint="-0.249977111117893"/>
      </font>
      <border>
        <top style="thin">
          <color theme="7"/>
        </top>
      </border>
    </dxf>
    <dxf>
      <font>
        <b/>
        <i val="0"/>
        <color theme="7" tint="-0.499984740745262"/>
      </font>
      <border>
        <bottom style="thin">
          <color theme="7"/>
        </bottom>
      </border>
    </dxf>
    <dxf>
      <font>
        <color theme="7" tint="-0.499984740745262"/>
      </font>
      <border>
        <top style="thin">
          <color theme="7"/>
        </top>
        <bottom style="thin">
          <color theme="7"/>
        </bottom>
      </border>
    </dxf>
    <dxf>
      <fill>
        <patternFill patternType="solid">
          <fgColor theme="6" tint="0.79998168889431442"/>
          <bgColor theme="6" tint="0.79998168889431442"/>
        </patternFill>
      </fill>
    </dxf>
    <dxf>
      <fill>
        <patternFill patternType="solid">
          <fgColor theme="6" tint="0.79995117038483843"/>
          <bgColor theme="6" tint="0.59996337778862885"/>
        </patternFill>
      </fill>
    </dxf>
    <dxf>
      <font>
        <b/>
        <color theme="6" tint="-0.249977111117893"/>
      </font>
    </dxf>
    <dxf>
      <font>
        <b/>
        <color theme="6" tint="-0.249977111117893"/>
      </font>
    </dxf>
    <dxf>
      <font>
        <b/>
        <color theme="6" tint="-0.249977111117893"/>
      </font>
      <border>
        <top style="thin">
          <color theme="6"/>
        </top>
      </border>
    </dxf>
    <dxf>
      <font>
        <b/>
        <i val="0"/>
        <color theme="5"/>
      </font>
      <border>
        <bottom style="thin">
          <color theme="6"/>
        </bottom>
      </border>
    </dxf>
    <dxf>
      <font>
        <color auto="1"/>
      </font>
      <border>
        <top style="thin">
          <color theme="6"/>
        </top>
        <bottom style="thin">
          <color theme="6"/>
        </bottom>
      </border>
    </dxf>
    <dxf>
      <border>
        <left style="thin">
          <color theme="7"/>
        </left>
      </border>
    </dxf>
    <dxf>
      <border>
        <left style="thin">
          <color theme="7"/>
        </left>
      </border>
    </dxf>
    <dxf>
      <border>
        <top style="thin">
          <color theme="7"/>
        </top>
      </border>
    </dxf>
    <dxf>
      <border>
        <top style="thin">
          <color theme="7"/>
        </top>
      </border>
    </dxf>
    <dxf>
      <font>
        <b/>
        <color theme="1"/>
      </font>
    </dxf>
    <dxf>
      <font>
        <b/>
        <color theme="1"/>
      </font>
    </dxf>
    <dxf>
      <font>
        <b/>
        <color theme="1"/>
      </font>
      <border>
        <top style="double">
          <color theme="7"/>
        </top>
      </border>
    </dxf>
    <dxf>
      <font>
        <b/>
        <color theme="0"/>
      </font>
      <fill>
        <patternFill patternType="solid">
          <fgColor theme="7"/>
          <bgColor theme="7"/>
        </patternFill>
      </fill>
    </dxf>
    <dxf>
      <font>
        <color theme="1"/>
      </font>
      <border>
        <left style="thin">
          <color theme="7"/>
        </left>
        <right style="thin">
          <color theme="7"/>
        </right>
        <top style="thin">
          <color theme="7"/>
        </top>
        <bottom style="thin">
          <color theme="7"/>
        </bottom>
      </border>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i val="0"/>
        <color theme="0"/>
      </font>
      <fill>
        <patternFill patternType="solid">
          <fgColor theme="6"/>
          <bgColor theme="6"/>
        </patternFill>
      </fill>
    </dxf>
    <dxf>
      <font>
        <color theme="1"/>
      </font>
      <border>
        <left style="thin">
          <color theme="6"/>
        </left>
        <right style="thin">
          <color theme="6"/>
        </right>
        <top style="thin">
          <color theme="6"/>
        </top>
        <bottom style="thin">
          <color theme="6"/>
        </bottom>
      </border>
    </dxf>
  </dxfs>
  <tableStyles count="6" defaultTableStyle="TableStyleMedium2" defaultPivotStyle="PivotStyleLight16">
    <tableStyle name="E4tech Table Style_1" pivot="0" count="9" xr9:uid="{00000000-0011-0000-FFFF-FFFF00000000}">
      <tableStyleElement type="wholeTable" dxfId="128"/>
      <tableStyleElement type="headerRow" dxfId="127"/>
      <tableStyleElement type="totalRow" dxfId="126"/>
      <tableStyleElement type="firstColumn" dxfId="125"/>
      <tableStyleElement type="lastColumn" dxfId="124"/>
      <tableStyleElement type="firstRowStripe" dxfId="123"/>
      <tableStyleElement type="secondRowStripe" dxfId="122"/>
      <tableStyleElement type="firstColumnStripe" dxfId="121"/>
      <tableStyleElement type="secondColumnStripe" dxfId="120"/>
    </tableStyle>
    <tableStyle name="E4tech Table Style_2" pivot="0" count="9" xr9:uid="{00000000-0011-0000-FFFF-FFFF01000000}">
      <tableStyleElement type="wholeTable" dxfId="119"/>
      <tableStyleElement type="headerRow" dxfId="118"/>
      <tableStyleElement type="totalRow" dxfId="117"/>
      <tableStyleElement type="firstColumn" dxfId="116"/>
      <tableStyleElement type="lastColumn" dxfId="115"/>
      <tableStyleElement type="firstRowStripe" dxfId="114"/>
      <tableStyleElement type="secondRowStripe" dxfId="113"/>
      <tableStyleElement type="firstColumnStripe" dxfId="112"/>
      <tableStyleElement type="secondColumnStripe" dxfId="111"/>
    </tableStyle>
    <tableStyle name="E4tech Table Style_3" pivot="0" count="7" xr9:uid="{00000000-0011-0000-FFFF-FFFF02000000}">
      <tableStyleElement type="wholeTable" dxfId="110"/>
      <tableStyleElement type="headerRow" dxfId="109"/>
      <tableStyleElement type="totalRow" dxfId="108"/>
      <tableStyleElement type="firstColumn" dxfId="107"/>
      <tableStyleElement type="lastColumn" dxfId="106"/>
      <tableStyleElement type="firstRowStripe" dxfId="105"/>
      <tableStyleElement type="firstColumnStripe" dxfId="104"/>
    </tableStyle>
    <tableStyle name="E4tech Table Style_4" pivot="0" count="7" xr9:uid="{00000000-0011-0000-FFFF-FFFF03000000}">
      <tableStyleElement type="wholeTable" dxfId="103"/>
      <tableStyleElement type="headerRow" dxfId="102"/>
      <tableStyleElement type="totalRow" dxfId="101"/>
      <tableStyleElement type="firstColumn" dxfId="100"/>
      <tableStyleElement type="lastColumn" dxfId="99"/>
      <tableStyleElement type="firstRowStripe" dxfId="98"/>
      <tableStyleElement type="firstColumnStripe" dxfId="97"/>
    </tableStyle>
    <tableStyle name="E4tech Table Style_5" pivot="0" count="7" xr9:uid="{00000000-0011-0000-FFFF-FFFF04000000}">
      <tableStyleElement type="wholeTable" dxfId="96"/>
      <tableStyleElement type="headerRow" dxfId="95"/>
      <tableStyleElement type="totalRow" dxfId="94"/>
      <tableStyleElement type="firstColumn" dxfId="93"/>
      <tableStyleElement type="lastColumn" dxfId="92"/>
      <tableStyleElement type="firstRowStripe" dxfId="91"/>
      <tableStyleElement type="firstColumnStripe" dxfId="90"/>
    </tableStyle>
    <tableStyle name="E4tech Table Style_6" pivot="0" count="7" xr9:uid="{00000000-0011-0000-FFFF-FFFF05000000}">
      <tableStyleElement type="wholeTable" dxfId="89"/>
      <tableStyleElement type="headerRow" dxfId="88"/>
      <tableStyleElement type="totalRow" dxfId="87"/>
      <tableStyleElement type="firstColumn" dxfId="86"/>
      <tableStyleElement type="lastColumn" dxfId="85"/>
      <tableStyleElement type="firstRowStripe" dxfId="84"/>
      <tableStyleElement type="firstColumnStripe" dxfId="83"/>
    </tableStyle>
  </tableStyles>
  <colors>
    <mruColors>
      <color rgb="FFFF66CC"/>
      <color rgb="FFC7E8FA"/>
      <color rgb="FF5B9BD5"/>
      <color rgb="FFCCFF66"/>
      <color rgb="FFFF9900"/>
      <color rgb="FF99CC00"/>
      <color rgb="FFE2B700"/>
      <color rgb="FFEA8B00"/>
      <color rgb="FFD67F00"/>
      <color rgb="FFF29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6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xdr:from>
      <xdr:col>1</xdr:col>
      <xdr:colOff>27213</xdr:colOff>
      <xdr:row>0</xdr:row>
      <xdr:rowOff>326572</xdr:rowOff>
    </xdr:from>
    <xdr:to>
      <xdr:col>4</xdr:col>
      <xdr:colOff>65608</xdr:colOff>
      <xdr:row>42</xdr:row>
      <xdr:rowOff>80411</xdr:rowOff>
    </xdr:to>
    <xdr:sp macro="" textlink="">
      <xdr:nvSpPr>
        <xdr:cNvPr id="3" name="Rectangle 1">
          <a:extLst>
            <a:ext uri="{FF2B5EF4-FFF2-40B4-BE49-F238E27FC236}">
              <a16:creationId xmlns:a16="http://schemas.microsoft.com/office/drawing/2014/main" id="{B7EDEF2B-31E4-4C97-8515-C473C602F68D}"/>
            </a:ext>
          </a:extLst>
        </xdr:cNvPr>
        <xdr:cNvSpPr/>
      </xdr:nvSpPr>
      <xdr:spPr>
        <a:xfrm>
          <a:off x="367392" y="326572"/>
          <a:ext cx="18557716" cy="22586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2</xdr:col>
      <xdr:colOff>10734291</xdr:colOff>
      <xdr:row>2</xdr:row>
      <xdr:rowOff>55225</xdr:rowOff>
    </xdr:from>
    <xdr:ext cx="2262467" cy="656495"/>
    <xdr:pic>
      <xdr:nvPicPr>
        <xdr:cNvPr id="4" name="Picture 3">
          <a:extLst>
            <a:ext uri="{FF2B5EF4-FFF2-40B4-BE49-F238E27FC236}">
              <a16:creationId xmlns:a16="http://schemas.microsoft.com/office/drawing/2014/main" id="{7C48370B-3CBB-4056-A08B-BE002872E7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1899703" y="413813"/>
          <a:ext cx="2262467" cy="656495"/>
        </a:xfrm>
        <a:prstGeom prst="rect">
          <a:avLst/>
        </a:prstGeom>
        <a:noFill/>
        <a:ln>
          <a:noFill/>
        </a:ln>
      </xdr:spPr>
    </xdr:pic>
    <xdr:clientData/>
  </xdr:oneCellAnchor>
  <xdr:twoCellAnchor editAs="oneCell">
    <xdr:from>
      <xdr:col>1</xdr:col>
      <xdr:colOff>151168</xdr:colOff>
      <xdr:row>1</xdr:row>
      <xdr:rowOff>112059</xdr:rowOff>
    </xdr:from>
    <xdr:to>
      <xdr:col>2</xdr:col>
      <xdr:colOff>1714388</xdr:colOff>
      <xdr:row>8</xdr:row>
      <xdr:rowOff>134143</xdr:rowOff>
    </xdr:to>
    <xdr:pic>
      <xdr:nvPicPr>
        <xdr:cNvPr id="5" name="Picture 4">
          <a:extLst>
            <a:ext uri="{FF2B5EF4-FFF2-40B4-BE49-F238E27FC236}">
              <a16:creationId xmlns:a16="http://schemas.microsoft.com/office/drawing/2014/main" id="{FFB5AE0F-86AB-45E5-B6D2-AA4D8F14A469}"/>
            </a:ext>
          </a:extLst>
        </xdr:cNvPr>
        <xdr:cNvPicPr>
          <a:picLocks noChangeAspect="1"/>
        </xdr:cNvPicPr>
      </xdr:nvPicPr>
      <xdr:blipFill>
        <a:blip xmlns:r="http://schemas.openxmlformats.org/officeDocument/2006/relationships" r:embed="rId2"/>
        <a:stretch>
          <a:fillRect/>
        </a:stretch>
      </xdr:blipFill>
      <xdr:spPr>
        <a:xfrm>
          <a:off x="498550" y="291353"/>
          <a:ext cx="2381250" cy="12771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703761</xdr:colOff>
      <xdr:row>5</xdr:row>
      <xdr:rowOff>25312</xdr:rowOff>
    </xdr:from>
    <xdr:to>
      <xdr:col>13</xdr:col>
      <xdr:colOff>135163</xdr:colOff>
      <xdr:row>8</xdr:row>
      <xdr:rowOff>26510</xdr:rowOff>
    </xdr:to>
    <xdr:cxnSp macro="">
      <xdr:nvCxnSpPr>
        <xdr:cNvPr id="12" name="Straight Arrow Connector 20">
          <a:extLst>
            <a:ext uri="{FF2B5EF4-FFF2-40B4-BE49-F238E27FC236}">
              <a16:creationId xmlns:a16="http://schemas.microsoft.com/office/drawing/2014/main" id="{5090173D-280D-4390-A812-CE53CC0E73F2}"/>
            </a:ext>
          </a:extLst>
        </xdr:cNvPr>
        <xdr:cNvCxnSpPr>
          <a:cxnSpLocks/>
          <a:stCxn id="4" idx="1"/>
        </xdr:cNvCxnSpPr>
      </xdr:nvCxnSpPr>
      <xdr:spPr>
        <a:xfrm flipH="1" flipV="1">
          <a:off x="13781026" y="2277694"/>
          <a:ext cx="932990" cy="5502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9359</xdr:colOff>
      <xdr:row>19</xdr:row>
      <xdr:rowOff>69533</xdr:rowOff>
    </xdr:from>
    <xdr:to>
      <xdr:col>11</xdr:col>
      <xdr:colOff>49530</xdr:colOff>
      <xdr:row>19</xdr:row>
      <xdr:rowOff>69533</xdr:rowOff>
    </xdr:to>
    <xdr:cxnSp macro="">
      <xdr:nvCxnSpPr>
        <xdr:cNvPr id="5" name="Straight Arrow Connector 19">
          <a:extLst>
            <a:ext uri="{FF2B5EF4-FFF2-40B4-BE49-F238E27FC236}">
              <a16:creationId xmlns:a16="http://schemas.microsoft.com/office/drawing/2014/main" id="{347A59D7-CF22-4BC0-9414-59F84A218E28}"/>
            </a:ext>
          </a:extLst>
        </xdr:cNvPr>
        <xdr:cNvCxnSpPr/>
      </xdr:nvCxnSpPr>
      <xdr:spPr>
        <a:xfrm flipV="1">
          <a:off x="12623180" y="4927283"/>
          <a:ext cx="1006279"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1113067</xdr:colOff>
      <xdr:row>19</xdr:row>
      <xdr:rowOff>64226</xdr:rowOff>
    </xdr:from>
    <xdr:to>
      <xdr:col>14</xdr:col>
      <xdr:colOff>149679</xdr:colOff>
      <xdr:row>24</xdr:row>
      <xdr:rowOff>83550</xdr:rowOff>
    </xdr:to>
    <xdr:cxnSp macro="">
      <xdr:nvCxnSpPr>
        <xdr:cNvPr id="33" name="Straight Arrow Connector 5">
          <a:extLst>
            <a:ext uri="{FF2B5EF4-FFF2-40B4-BE49-F238E27FC236}">
              <a16:creationId xmlns:a16="http://schemas.microsoft.com/office/drawing/2014/main" id="{758D97AC-4DDC-4A58-BAD1-2A4CA92D6D9C}"/>
            </a:ext>
          </a:extLst>
        </xdr:cNvPr>
        <xdr:cNvCxnSpPr>
          <a:stCxn id="54" idx="0"/>
        </xdr:cNvCxnSpPr>
      </xdr:nvCxnSpPr>
      <xdr:spPr>
        <a:xfrm flipV="1">
          <a:off x="15691920" y="4658638"/>
          <a:ext cx="336494" cy="91579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830036</xdr:colOff>
      <xdr:row>22</xdr:row>
      <xdr:rowOff>149678</xdr:rowOff>
    </xdr:from>
    <xdr:to>
      <xdr:col>16</xdr:col>
      <xdr:colOff>657226</xdr:colOff>
      <xdr:row>25</xdr:row>
      <xdr:rowOff>125640</xdr:rowOff>
    </xdr:to>
    <xdr:cxnSp macro="">
      <xdr:nvCxnSpPr>
        <xdr:cNvPr id="39" name="Straight Arrow Connector 5">
          <a:extLst>
            <a:ext uri="{FF2B5EF4-FFF2-40B4-BE49-F238E27FC236}">
              <a16:creationId xmlns:a16="http://schemas.microsoft.com/office/drawing/2014/main" id="{F21CD3C9-0BFE-400C-AEC6-C336F9681EDD}"/>
            </a:ext>
          </a:extLst>
        </xdr:cNvPr>
        <xdr:cNvCxnSpPr/>
      </xdr:nvCxnSpPr>
      <xdr:spPr>
        <a:xfrm flipH="1">
          <a:off x="18070286" y="5143499"/>
          <a:ext cx="1283154" cy="50664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27450</xdr:colOff>
      <xdr:row>22</xdr:row>
      <xdr:rowOff>126203</xdr:rowOff>
    </xdr:from>
    <xdr:to>
      <xdr:col>18</xdr:col>
      <xdr:colOff>677183</xdr:colOff>
      <xdr:row>25</xdr:row>
      <xdr:rowOff>125639</xdr:rowOff>
    </xdr:to>
    <xdr:cxnSp macro="">
      <xdr:nvCxnSpPr>
        <xdr:cNvPr id="3" name="Straight Arrow Connector 5">
          <a:extLst>
            <a:ext uri="{FF2B5EF4-FFF2-40B4-BE49-F238E27FC236}">
              <a16:creationId xmlns:a16="http://schemas.microsoft.com/office/drawing/2014/main" id="{0541098A-F633-414B-9282-1105241BA1B6}"/>
            </a:ext>
          </a:extLst>
        </xdr:cNvPr>
        <xdr:cNvCxnSpPr>
          <a:stCxn id="2" idx="2"/>
        </xdr:cNvCxnSpPr>
      </xdr:nvCxnSpPr>
      <xdr:spPr>
        <a:xfrm>
          <a:off x="20823700" y="5476078"/>
          <a:ext cx="1776858" cy="52331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327207</xdr:colOff>
      <xdr:row>24</xdr:row>
      <xdr:rowOff>83550</xdr:rowOff>
    </xdr:from>
    <xdr:to>
      <xdr:col>14</xdr:col>
      <xdr:colOff>1114516</xdr:colOff>
      <xdr:row>27</xdr:row>
      <xdr:rowOff>168089</xdr:rowOff>
    </xdr:to>
    <xdr:sp macro="" textlink="">
      <xdr:nvSpPr>
        <xdr:cNvPr id="54" name="TextBox 25">
          <a:extLst>
            <a:ext uri="{FF2B5EF4-FFF2-40B4-BE49-F238E27FC236}">
              <a16:creationId xmlns:a16="http://schemas.microsoft.com/office/drawing/2014/main" id="{1557CF1C-4F08-4000-A7F5-00DA6343B824}"/>
            </a:ext>
          </a:extLst>
        </xdr:cNvPr>
        <xdr:cNvSpPr txBox="1"/>
      </xdr:nvSpPr>
      <xdr:spPr>
        <a:xfrm>
          <a:off x="14390589" y="5574432"/>
          <a:ext cx="2602662" cy="6224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LHV energy content of all products and co-products.</a:t>
          </a:r>
        </a:p>
      </xdr:txBody>
    </xdr:sp>
    <xdr:clientData/>
  </xdr:twoCellAnchor>
  <xdr:twoCellAnchor>
    <xdr:from>
      <xdr:col>13</xdr:col>
      <xdr:colOff>135163</xdr:colOff>
      <xdr:row>6</xdr:row>
      <xdr:rowOff>64226</xdr:rowOff>
    </xdr:from>
    <xdr:to>
      <xdr:col>14</xdr:col>
      <xdr:colOff>1006928</xdr:colOff>
      <xdr:row>9</xdr:row>
      <xdr:rowOff>168088</xdr:rowOff>
    </xdr:to>
    <xdr:sp macro="" textlink="">
      <xdr:nvSpPr>
        <xdr:cNvPr id="4" name="TextBox 27">
          <a:extLst>
            <a:ext uri="{FF2B5EF4-FFF2-40B4-BE49-F238E27FC236}">
              <a16:creationId xmlns:a16="http://schemas.microsoft.com/office/drawing/2014/main" id="{00F0C2AD-D6FB-43A8-9A92-1A9E7D0FAD0D}"/>
            </a:ext>
          </a:extLst>
        </xdr:cNvPr>
        <xdr:cNvSpPr txBox="1"/>
      </xdr:nvSpPr>
      <xdr:spPr>
        <a:xfrm>
          <a:off x="14714016" y="2507108"/>
          <a:ext cx="2171647" cy="64174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889000</xdr:colOff>
      <xdr:row>19</xdr:row>
      <xdr:rowOff>15875</xdr:rowOff>
    </xdr:from>
    <xdr:to>
      <xdr:col>18</xdr:col>
      <xdr:colOff>966124</xdr:colOff>
      <xdr:row>22</xdr:row>
      <xdr:rowOff>129378</xdr:rowOff>
    </xdr:to>
    <xdr:sp macro="" textlink="">
      <xdr:nvSpPr>
        <xdr:cNvPr id="2" name="TextBox 27">
          <a:extLst>
            <a:ext uri="{FF2B5EF4-FFF2-40B4-BE49-F238E27FC236}">
              <a16:creationId xmlns:a16="http://schemas.microsoft.com/office/drawing/2014/main" id="{BB3C479F-C558-462E-95A5-D1FE6C59DB1B}"/>
            </a:ext>
          </a:extLst>
        </xdr:cNvPr>
        <xdr:cNvSpPr txBox="1"/>
      </xdr:nvSpPr>
      <xdr:spPr>
        <a:xfrm>
          <a:off x="18764250" y="4841875"/>
          <a:ext cx="4125249"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3</xdr:row>
      <xdr:rowOff>186266</xdr:rowOff>
    </xdr:from>
    <xdr:to>
      <xdr:col>2</xdr:col>
      <xdr:colOff>2376049</xdr:colOff>
      <xdr:row>4</xdr:row>
      <xdr:rowOff>819663</xdr:rowOff>
    </xdr:to>
    <xdr:sp macro="" textlink="">
      <xdr:nvSpPr>
        <xdr:cNvPr id="13" name="TextBox 17">
          <a:extLst>
            <a:ext uri="{FF2B5EF4-FFF2-40B4-BE49-F238E27FC236}">
              <a16:creationId xmlns:a16="http://schemas.microsoft.com/office/drawing/2014/main" id="{D7E8137F-0CE8-46C2-A43F-6524C45C7ED7}"/>
            </a:ext>
          </a:extLst>
        </xdr:cNvPr>
        <xdr:cNvSpPr txBox="1"/>
      </xdr:nvSpPr>
      <xdr:spPr>
        <a:xfrm>
          <a:off x="287867" y="1049866"/>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625931</xdr:colOff>
      <xdr:row>20</xdr:row>
      <xdr:rowOff>68036</xdr:rowOff>
    </xdr:from>
    <xdr:to>
      <xdr:col>13</xdr:col>
      <xdr:colOff>1056951</xdr:colOff>
      <xdr:row>24</xdr:row>
      <xdr:rowOff>24040</xdr:rowOff>
    </xdr:to>
    <xdr:cxnSp macro="">
      <xdr:nvCxnSpPr>
        <xdr:cNvPr id="25" name="Straight Arrow Connector 5">
          <a:extLst>
            <a:ext uri="{FF2B5EF4-FFF2-40B4-BE49-F238E27FC236}">
              <a16:creationId xmlns:a16="http://schemas.microsoft.com/office/drawing/2014/main" id="{79028D7E-DC56-4A95-8E72-E33D4396F20C}"/>
            </a:ext>
          </a:extLst>
        </xdr:cNvPr>
        <xdr:cNvCxnSpPr>
          <a:stCxn id="62" idx="0"/>
        </xdr:cNvCxnSpPr>
      </xdr:nvCxnSpPr>
      <xdr:spPr>
        <a:xfrm flipH="1" flipV="1">
          <a:off x="15267217" y="4939393"/>
          <a:ext cx="431020" cy="6817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xdr:row>
      <xdr:rowOff>84818</xdr:rowOff>
    </xdr:from>
    <xdr:to>
      <xdr:col>13</xdr:col>
      <xdr:colOff>27214</xdr:colOff>
      <xdr:row>18</xdr:row>
      <xdr:rowOff>163286</xdr:rowOff>
    </xdr:to>
    <xdr:cxnSp macro="">
      <xdr:nvCxnSpPr>
        <xdr:cNvPr id="3" name="Straight Arrow Connector 2">
          <a:extLst>
            <a:ext uri="{FF2B5EF4-FFF2-40B4-BE49-F238E27FC236}">
              <a16:creationId xmlns:a16="http://schemas.microsoft.com/office/drawing/2014/main" id="{7DEB4F82-402B-443F-AC24-F51ECCFF18CC}"/>
            </a:ext>
          </a:extLst>
        </xdr:cNvPr>
        <xdr:cNvCxnSpPr/>
      </xdr:nvCxnSpPr>
      <xdr:spPr>
        <a:xfrm>
          <a:off x="15171964" y="2602139"/>
          <a:ext cx="530679" cy="202429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19</xdr:row>
      <xdr:rowOff>108857</xdr:rowOff>
    </xdr:from>
    <xdr:to>
      <xdr:col>12</xdr:col>
      <xdr:colOff>489857</xdr:colOff>
      <xdr:row>19</xdr:row>
      <xdr:rowOff>108857</xdr:rowOff>
    </xdr:to>
    <xdr:cxnSp macro="">
      <xdr:nvCxnSpPr>
        <xdr:cNvPr id="9" name="Straight Arrow Connector 3">
          <a:extLst>
            <a:ext uri="{FF2B5EF4-FFF2-40B4-BE49-F238E27FC236}">
              <a16:creationId xmlns:a16="http://schemas.microsoft.com/office/drawing/2014/main" id="{90708581-74FF-44A5-A6A1-F20AAFE5A00B}"/>
            </a:ext>
          </a:extLst>
        </xdr:cNvPr>
        <xdr:cNvCxnSpPr/>
      </xdr:nvCxnSpPr>
      <xdr:spPr>
        <a:xfrm flipV="1">
          <a:off x="14065624" y="4869116"/>
          <a:ext cx="489857"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768352</xdr:colOff>
      <xdr:row>4</xdr:row>
      <xdr:rowOff>1170218</xdr:rowOff>
    </xdr:from>
    <xdr:to>
      <xdr:col>13</xdr:col>
      <xdr:colOff>1092654</xdr:colOff>
      <xdr:row>7</xdr:row>
      <xdr:rowOff>1</xdr:rowOff>
    </xdr:to>
    <xdr:cxnSp macro="">
      <xdr:nvCxnSpPr>
        <xdr:cNvPr id="35" name="Straight Arrow Connector 20">
          <a:extLst>
            <a:ext uri="{FF2B5EF4-FFF2-40B4-BE49-F238E27FC236}">
              <a16:creationId xmlns:a16="http://schemas.microsoft.com/office/drawing/2014/main" id="{F1B83198-F609-4AED-9F30-99A649D91766}"/>
            </a:ext>
          </a:extLst>
        </xdr:cNvPr>
        <xdr:cNvCxnSpPr>
          <a:cxnSpLocks/>
          <a:stCxn id="33" idx="0"/>
        </xdr:cNvCxnSpPr>
      </xdr:nvCxnSpPr>
      <xdr:spPr>
        <a:xfrm flipH="1" flipV="1">
          <a:off x="14960602" y="2340432"/>
          <a:ext cx="1807481" cy="38099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62955</xdr:colOff>
      <xdr:row>7</xdr:row>
      <xdr:rowOff>66131</xdr:rowOff>
    </xdr:from>
    <xdr:to>
      <xdr:col>11</xdr:col>
      <xdr:colOff>91440</xdr:colOff>
      <xdr:row>7</xdr:row>
      <xdr:rowOff>66131</xdr:rowOff>
    </xdr:to>
    <xdr:cxnSp macro="">
      <xdr:nvCxnSpPr>
        <xdr:cNvPr id="28" name="Straight Arrow Connector 5">
          <a:extLst>
            <a:ext uri="{FF2B5EF4-FFF2-40B4-BE49-F238E27FC236}">
              <a16:creationId xmlns:a16="http://schemas.microsoft.com/office/drawing/2014/main" id="{D61B2C51-44E5-4496-BE2B-7C7E0B8A630F}"/>
            </a:ext>
          </a:extLst>
        </xdr:cNvPr>
        <xdr:cNvCxnSpPr/>
      </xdr:nvCxnSpPr>
      <xdr:spPr>
        <a:xfrm flipV="1">
          <a:off x="13016955" y="2583452"/>
          <a:ext cx="994592"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1211036</xdr:colOff>
      <xdr:row>19</xdr:row>
      <xdr:rowOff>16783</xdr:rowOff>
    </xdr:from>
    <xdr:to>
      <xdr:col>15</xdr:col>
      <xdr:colOff>408213</xdr:colOff>
      <xdr:row>19</xdr:row>
      <xdr:rowOff>95250</xdr:rowOff>
    </xdr:to>
    <xdr:cxnSp macro="">
      <xdr:nvCxnSpPr>
        <xdr:cNvPr id="60" name="Straight Arrow Connector 5">
          <a:extLst>
            <a:ext uri="{FF2B5EF4-FFF2-40B4-BE49-F238E27FC236}">
              <a16:creationId xmlns:a16="http://schemas.microsoft.com/office/drawing/2014/main" id="{B050F41C-B29C-4765-8275-FD6159AFF3AD}"/>
            </a:ext>
          </a:extLst>
        </xdr:cNvPr>
        <xdr:cNvCxnSpPr>
          <a:stCxn id="52" idx="1"/>
        </xdr:cNvCxnSpPr>
      </xdr:nvCxnSpPr>
      <xdr:spPr>
        <a:xfrm flipH="1">
          <a:off x="17226643" y="4656819"/>
          <a:ext cx="421820"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982891</xdr:colOff>
      <xdr:row>24</xdr:row>
      <xdr:rowOff>122464</xdr:rowOff>
    </xdr:from>
    <xdr:to>
      <xdr:col>16</xdr:col>
      <xdr:colOff>503465</xdr:colOff>
      <xdr:row>25</xdr:row>
      <xdr:rowOff>163286</xdr:rowOff>
    </xdr:to>
    <xdr:cxnSp macro="">
      <xdr:nvCxnSpPr>
        <xdr:cNvPr id="57" name="Straight Arrow Connector 5">
          <a:extLst>
            <a:ext uri="{FF2B5EF4-FFF2-40B4-BE49-F238E27FC236}">
              <a16:creationId xmlns:a16="http://schemas.microsoft.com/office/drawing/2014/main" id="{C4E6E06E-E310-44D4-A1C6-7EAD813FA8F5}"/>
            </a:ext>
          </a:extLst>
        </xdr:cNvPr>
        <xdr:cNvCxnSpPr/>
      </xdr:nvCxnSpPr>
      <xdr:spPr>
        <a:xfrm flipH="1">
          <a:off x="18223141" y="5646964"/>
          <a:ext cx="976538" cy="21771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1283843</xdr:colOff>
      <xdr:row>24</xdr:row>
      <xdr:rowOff>106700</xdr:rowOff>
    </xdr:from>
    <xdr:to>
      <xdr:col>18</xdr:col>
      <xdr:colOff>731611</xdr:colOff>
      <xdr:row>25</xdr:row>
      <xdr:rowOff>125639</xdr:rowOff>
    </xdr:to>
    <xdr:cxnSp macro="">
      <xdr:nvCxnSpPr>
        <xdr:cNvPr id="5" name="Straight Arrow Connector 5">
          <a:extLst>
            <a:ext uri="{FF2B5EF4-FFF2-40B4-BE49-F238E27FC236}">
              <a16:creationId xmlns:a16="http://schemas.microsoft.com/office/drawing/2014/main" id="{B44EC19A-A843-46A1-95CA-8788C40EBF29}"/>
            </a:ext>
          </a:extLst>
        </xdr:cNvPr>
        <xdr:cNvCxnSpPr>
          <a:cxnSpLocks/>
          <a:stCxn id="4" idx="2"/>
        </xdr:cNvCxnSpPr>
      </xdr:nvCxnSpPr>
      <xdr:spPr>
        <a:xfrm>
          <a:off x="20959772" y="6025807"/>
          <a:ext cx="2033125" cy="19583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387350</xdr:colOff>
      <xdr:row>24</xdr:row>
      <xdr:rowOff>24040</xdr:rowOff>
    </xdr:from>
    <xdr:to>
      <xdr:col>14</xdr:col>
      <xdr:colOff>910124</xdr:colOff>
      <xdr:row>27</xdr:row>
      <xdr:rowOff>146160</xdr:rowOff>
    </xdr:to>
    <xdr:sp macro="" textlink="">
      <xdr:nvSpPr>
        <xdr:cNvPr id="62" name="TextBox 10">
          <a:extLst>
            <a:ext uri="{FF2B5EF4-FFF2-40B4-BE49-F238E27FC236}">
              <a16:creationId xmlns:a16="http://schemas.microsoft.com/office/drawing/2014/main" id="{DB1BCB97-D58D-4F98-AAD0-80529729F2CB}"/>
            </a:ext>
          </a:extLst>
        </xdr:cNvPr>
        <xdr:cNvSpPr txBox="1"/>
      </xdr:nvSpPr>
      <xdr:spPr>
        <a:xfrm>
          <a:off x="14579600" y="5548540"/>
          <a:ext cx="2346131" cy="6527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411388</xdr:colOff>
      <xdr:row>17</xdr:row>
      <xdr:rowOff>122466</xdr:rowOff>
    </xdr:from>
    <xdr:to>
      <xdr:col>18</xdr:col>
      <xdr:colOff>326571</xdr:colOff>
      <xdr:row>20</xdr:row>
      <xdr:rowOff>81643</xdr:rowOff>
    </xdr:to>
    <xdr:sp macro="" textlink="">
      <xdr:nvSpPr>
        <xdr:cNvPr id="52" name="TextBox 11">
          <a:extLst>
            <a:ext uri="{FF2B5EF4-FFF2-40B4-BE49-F238E27FC236}">
              <a16:creationId xmlns:a16="http://schemas.microsoft.com/office/drawing/2014/main" id="{54E95E69-E1C1-4466-A5CD-433D5BD13991}"/>
            </a:ext>
          </a:extLst>
        </xdr:cNvPr>
        <xdr:cNvSpPr txBox="1"/>
      </xdr:nvSpPr>
      <xdr:spPr>
        <a:xfrm>
          <a:off x="17651638" y="4408716"/>
          <a:ext cx="395650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13</xdr:col>
      <xdr:colOff>0</xdr:colOff>
      <xdr:row>7</xdr:row>
      <xdr:rowOff>1</xdr:rowOff>
    </xdr:from>
    <xdr:to>
      <xdr:col>14</xdr:col>
      <xdr:colOff>865415</xdr:colOff>
      <xdr:row>10</xdr:row>
      <xdr:rowOff>122464</xdr:rowOff>
    </xdr:to>
    <xdr:sp macro="" textlink="">
      <xdr:nvSpPr>
        <xdr:cNvPr id="33" name="TextBox 27">
          <a:extLst>
            <a:ext uri="{FF2B5EF4-FFF2-40B4-BE49-F238E27FC236}">
              <a16:creationId xmlns:a16="http://schemas.microsoft.com/office/drawing/2014/main" id="{E2FDFA50-EB30-41E4-BAF6-1837A68551E6}"/>
            </a:ext>
          </a:extLst>
        </xdr:cNvPr>
        <xdr:cNvSpPr txBox="1"/>
      </xdr:nvSpPr>
      <xdr:spPr>
        <a:xfrm>
          <a:off x="15675429" y="2721430"/>
          <a:ext cx="2185307" cy="6531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680358</xdr:colOff>
      <xdr:row>21</xdr:row>
      <xdr:rowOff>0</xdr:rowOff>
    </xdr:from>
    <xdr:to>
      <xdr:col>18</xdr:col>
      <xdr:colOff>761110</xdr:colOff>
      <xdr:row>24</xdr:row>
      <xdr:rowOff>103525</xdr:rowOff>
    </xdr:to>
    <xdr:sp macro="" textlink="">
      <xdr:nvSpPr>
        <xdr:cNvPr id="4" name="TextBox 27">
          <a:extLst>
            <a:ext uri="{FF2B5EF4-FFF2-40B4-BE49-F238E27FC236}">
              <a16:creationId xmlns:a16="http://schemas.microsoft.com/office/drawing/2014/main" id="{95FAA876-F0E6-4FCE-94BD-16A78308C482}"/>
            </a:ext>
          </a:extLst>
        </xdr:cNvPr>
        <xdr:cNvSpPr txBox="1"/>
      </xdr:nvSpPr>
      <xdr:spPr>
        <a:xfrm>
          <a:off x="18900322" y="5388429"/>
          <a:ext cx="4122074"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B5978980-8C9D-4619-8D20-71CBB2B7161A}"/>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625929</xdr:colOff>
      <xdr:row>20</xdr:row>
      <xdr:rowOff>59146</xdr:rowOff>
    </xdr:from>
    <xdr:to>
      <xdr:col>13</xdr:col>
      <xdr:colOff>1039262</xdr:colOff>
      <xdr:row>24</xdr:row>
      <xdr:rowOff>25310</xdr:rowOff>
    </xdr:to>
    <xdr:cxnSp macro="">
      <xdr:nvCxnSpPr>
        <xdr:cNvPr id="2" name="Straight Arrow Connector 5">
          <a:extLst>
            <a:ext uri="{FF2B5EF4-FFF2-40B4-BE49-F238E27FC236}">
              <a16:creationId xmlns:a16="http://schemas.microsoft.com/office/drawing/2014/main" id="{5D84927D-57B8-48A3-9CCB-005B1CD76FE4}"/>
            </a:ext>
          </a:extLst>
        </xdr:cNvPr>
        <xdr:cNvCxnSpPr>
          <a:stCxn id="10" idx="0"/>
        </xdr:cNvCxnSpPr>
      </xdr:nvCxnSpPr>
      <xdr:spPr>
        <a:xfrm flipH="1" flipV="1">
          <a:off x="15189654" y="5031196"/>
          <a:ext cx="413333" cy="69006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xdr:colOff>
      <xdr:row>7</xdr:row>
      <xdr:rowOff>133350</xdr:rowOff>
    </xdr:from>
    <xdr:to>
      <xdr:col>13</xdr:col>
      <xdr:colOff>152400</xdr:colOff>
      <xdr:row>19</xdr:row>
      <xdr:rowOff>30389</xdr:rowOff>
    </xdr:to>
    <xdr:cxnSp macro="">
      <xdr:nvCxnSpPr>
        <xdr:cNvPr id="4" name="Straight Arrow Connector 2">
          <a:extLst>
            <a:ext uri="{FF2B5EF4-FFF2-40B4-BE49-F238E27FC236}">
              <a16:creationId xmlns:a16="http://schemas.microsoft.com/office/drawing/2014/main" id="{37657DB9-0467-4E19-8787-4660B5253D52}"/>
            </a:ext>
          </a:extLst>
        </xdr:cNvPr>
        <xdr:cNvCxnSpPr/>
      </xdr:nvCxnSpPr>
      <xdr:spPr>
        <a:xfrm>
          <a:off x="15011400" y="2647950"/>
          <a:ext cx="638175" cy="206873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xdr:colOff>
      <xdr:row>19</xdr:row>
      <xdr:rowOff>95250</xdr:rowOff>
    </xdr:from>
    <xdr:to>
      <xdr:col>12</xdr:col>
      <xdr:colOff>485775</xdr:colOff>
      <xdr:row>19</xdr:row>
      <xdr:rowOff>95250</xdr:rowOff>
    </xdr:to>
    <xdr:cxnSp macro="">
      <xdr:nvCxnSpPr>
        <xdr:cNvPr id="28" name="Straight Arrow Connector 3">
          <a:extLst>
            <a:ext uri="{FF2B5EF4-FFF2-40B4-BE49-F238E27FC236}">
              <a16:creationId xmlns:a16="http://schemas.microsoft.com/office/drawing/2014/main" id="{1EC8F7EE-DE6A-484C-9000-C2282FC80092}"/>
            </a:ext>
          </a:extLst>
        </xdr:cNvPr>
        <xdr:cNvCxnSpPr/>
      </xdr:nvCxnSpPr>
      <xdr:spPr>
        <a:xfrm>
          <a:off x="15011400" y="4781550"/>
          <a:ext cx="46672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777241</xdr:colOff>
      <xdr:row>4</xdr:row>
      <xdr:rowOff>1169582</xdr:rowOff>
    </xdr:from>
    <xdr:to>
      <xdr:col>13</xdr:col>
      <xdr:colOff>1081043</xdr:colOff>
      <xdr:row>7</xdr:row>
      <xdr:rowOff>1</xdr:rowOff>
    </xdr:to>
    <xdr:cxnSp macro="">
      <xdr:nvCxnSpPr>
        <xdr:cNvPr id="5" name="Straight Arrow Connector 20">
          <a:extLst>
            <a:ext uri="{FF2B5EF4-FFF2-40B4-BE49-F238E27FC236}">
              <a16:creationId xmlns:a16="http://schemas.microsoft.com/office/drawing/2014/main" id="{E6D7F092-79D7-4104-823E-26895E43628E}"/>
            </a:ext>
          </a:extLst>
        </xdr:cNvPr>
        <xdr:cNvCxnSpPr>
          <a:cxnSpLocks/>
          <a:stCxn id="13" idx="0"/>
        </xdr:cNvCxnSpPr>
      </xdr:nvCxnSpPr>
      <xdr:spPr>
        <a:xfrm flipH="1" flipV="1">
          <a:off x="13845541" y="2217332"/>
          <a:ext cx="1799227" cy="4020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979716</xdr:colOff>
      <xdr:row>24</xdr:row>
      <xdr:rowOff>125639</xdr:rowOff>
    </xdr:from>
    <xdr:to>
      <xdr:col>16</xdr:col>
      <xdr:colOff>506640</xdr:colOff>
      <xdr:row>25</xdr:row>
      <xdr:rowOff>160111</xdr:rowOff>
    </xdr:to>
    <xdr:cxnSp macro="">
      <xdr:nvCxnSpPr>
        <xdr:cNvPr id="8" name="Straight Arrow Connector 5">
          <a:extLst>
            <a:ext uri="{FF2B5EF4-FFF2-40B4-BE49-F238E27FC236}">
              <a16:creationId xmlns:a16="http://schemas.microsoft.com/office/drawing/2014/main" id="{BB8FC732-0B5F-4A78-9974-95AA25884B43}"/>
            </a:ext>
          </a:extLst>
        </xdr:cNvPr>
        <xdr:cNvCxnSpPr/>
      </xdr:nvCxnSpPr>
      <xdr:spPr>
        <a:xfrm flipH="1">
          <a:off x="18219966" y="5446032"/>
          <a:ext cx="982888" cy="21136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185284</xdr:colOff>
      <xdr:row>24</xdr:row>
      <xdr:rowOff>111125</xdr:rowOff>
    </xdr:from>
    <xdr:to>
      <xdr:col>18</xdr:col>
      <xdr:colOff>752475</xdr:colOff>
      <xdr:row>25</xdr:row>
      <xdr:rowOff>152400</xdr:rowOff>
    </xdr:to>
    <xdr:cxnSp macro="">
      <xdr:nvCxnSpPr>
        <xdr:cNvPr id="9" name="Straight Arrow Connector 5">
          <a:extLst>
            <a:ext uri="{FF2B5EF4-FFF2-40B4-BE49-F238E27FC236}">
              <a16:creationId xmlns:a16="http://schemas.microsoft.com/office/drawing/2014/main" id="{CA66CB52-3B12-4272-9E3B-62908E10E38B}"/>
            </a:ext>
          </a:extLst>
        </xdr:cNvPr>
        <xdr:cNvCxnSpPr>
          <a:stCxn id="15" idx="2"/>
        </xdr:cNvCxnSpPr>
      </xdr:nvCxnSpPr>
      <xdr:spPr>
        <a:xfrm>
          <a:off x="21140284" y="6092825"/>
          <a:ext cx="1700666" cy="2222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392430</xdr:colOff>
      <xdr:row>24</xdr:row>
      <xdr:rowOff>25310</xdr:rowOff>
    </xdr:from>
    <xdr:to>
      <xdr:col>14</xdr:col>
      <xdr:colOff>905044</xdr:colOff>
      <xdr:row>27</xdr:row>
      <xdr:rowOff>114300</xdr:rowOff>
    </xdr:to>
    <xdr:sp macro="" textlink="">
      <xdr:nvSpPr>
        <xdr:cNvPr id="10" name="TextBox 9">
          <a:extLst>
            <a:ext uri="{FF2B5EF4-FFF2-40B4-BE49-F238E27FC236}">
              <a16:creationId xmlns:a16="http://schemas.microsoft.com/office/drawing/2014/main" id="{DA83FB76-BD68-4AD5-9DA0-38692449E097}"/>
            </a:ext>
          </a:extLst>
        </xdr:cNvPr>
        <xdr:cNvSpPr txBox="1"/>
      </xdr:nvSpPr>
      <xdr:spPr>
        <a:xfrm>
          <a:off x="14441805" y="5721260"/>
          <a:ext cx="2322364" cy="63191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408213</xdr:colOff>
      <xdr:row>17</xdr:row>
      <xdr:rowOff>125641</xdr:rowOff>
    </xdr:from>
    <xdr:to>
      <xdr:col>18</xdr:col>
      <xdr:colOff>326571</xdr:colOff>
      <xdr:row>20</xdr:row>
      <xdr:rowOff>84819</xdr:rowOff>
    </xdr:to>
    <xdr:sp macro="" textlink="">
      <xdr:nvSpPr>
        <xdr:cNvPr id="11" name="TextBox 10">
          <a:extLst>
            <a:ext uri="{FF2B5EF4-FFF2-40B4-BE49-F238E27FC236}">
              <a16:creationId xmlns:a16="http://schemas.microsoft.com/office/drawing/2014/main" id="{4F048DC9-D34D-4F07-982C-B14C044363C6}"/>
            </a:ext>
          </a:extLst>
        </xdr:cNvPr>
        <xdr:cNvSpPr txBox="1"/>
      </xdr:nvSpPr>
      <xdr:spPr>
        <a:xfrm>
          <a:off x="17648463" y="4207784"/>
          <a:ext cx="395967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13</xdr:col>
      <xdr:colOff>0</xdr:colOff>
      <xdr:row>7</xdr:row>
      <xdr:rowOff>1</xdr:rowOff>
    </xdr:from>
    <xdr:to>
      <xdr:col>14</xdr:col>
      <xdr:colOff>866685</xdr:colOff>
      <xdr:row>10</xdr:row>
      <xdr:rowOff>104775</xdr:rowOff>
    </xdr:to>
    <xdr:sp macro="" textlink="">
      <xdr:nvSpPr>
        <xdr:cNvPr id="13" name="TextBox 12">
          <a:extLst>
            <a:ext uri="{FF2B5EF4-FFF2-40B4-BE49-F238E27FC236}">
              <a16:creationId xmlns:a16="http://schemas.microsoft.com/office/drawing/2014/main" id="{04D1E4D3-1ABF-4E1E-9F9D-957AC6CDE542}"/>
            </a:ext>
          </a:extLst>
        </xdr:cNvPr>
        <xdr:cNvSpPr txBox="1"/>
      </xdr:nvSpPr>
      <xdr:spPr>
        <a:xfrm>
          <a:off x="14563725" y="2619376"/>
          <a:ext cx="2162085" cy="6476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951593</xdr:colOff>
      <xdr:row>20</xdr:row>
      <xdr:rowOff>172357</xdr:rowOff>
    </xdr:from>
    <xdr:to>
      <xdr:col>18</xdr:col>
      <xdr:colOff>1200150</xdr:colOff>
      <xdr:row>24</xdr:row>
      <xdr:rowOff>111125</xdr:rowOff>
    </xdr:to>
    <xdr:sp macro="" textlink="">
      <xdr:nvSpPr>
        <xdr:cNvPr id="15" name="TextBox 13">
          <a:extLst>
            <a:ext uri="{FF2B5EF4-FFF2-40B4-BE49-F238E27FC236}">
              <a16:creationId xmlns:a16="http://schemas.microsoft.com/office/drawing/2014/main" id="{4807CF14-9278-4A23-8F69-BFC11179997F}"/>
            </a:ext>
          </a:extLst>
        </xdr:cNvPr>
        <xdr:cNvSpPr txBox="1"/>
      </xdr:nvSpPr>
      <xdr:spPr>
        <a:xfrm>
          <a:off x="18991943" y="5430157"/>
          <a:ext cx="4296682" cy="6626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14</xdr:col>
      <xdr:colOff>1211036</xdr:colOff>
      <xdr:row>19</xdr:row>
      <xdr:rowOff>27214</xdr:rowOff>
    </xdr:from>
    <xdr:to>
      <xdr:col>15</xdr:col>
      <xdr:colOff>417738</xdr:colOff>
      <xdr:row>19</xdr:row>
      <xdr:rowOff>105681</xdr:rowOff>
    </xdr:to>
    <xdr:cxnSp macro="">
      <xdr:nvCxnSpPr>
        <xdr:cNvPr id="17" name="Straight Arrow Connector 5">
          <a:extLst>
            <a:ext uri="{FF2B5EF4-FFF2-40B4-BE49-F238E27FC236}">
              <a16:creationId xmlns:a16="http://schemas.microsoft.com/office/drawing/2014/main" id="{1D1B3B9C-E6D5-4B9A-9D40-F0492F1CDE6B}"/>
            </a:ext>
          </a:extLst>
        </xdr:cNvPr>
        <xdr:cNvCxnSpPr/>
      </xdr:nvCxnSpPr>
      <xdr:spPr>
        <a:xfrm flipH="1">
          <a:off x="17226643" y="4463143"/>
          <a:ext cx="431345"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949325</xdr:colOff>
      <xdr:row>7</xdr:row>
      <xdr:rowOff>88715</xdr:rowOff>
    </xdr:from>
    <xdr:to>
      <xdr:col>11</xdr:col>
      <xdr:colOff>4963</xdr:colOff>
      <xdr:row>7</xdr:row>
      <xdr:rowOff>88715</xdr:rowOff>
    </xdr:to>
    <xdr:cxnSp macro="">
      <xdr:nvCxnSpPr>
        <xdr:cNvPr id="16" name="Straight Arrow Connector 5">
          <a:extLst>
            <a:ext uri="{FF2B5EF4-FFF2-40B4-BE49-F238E27FC236}">
              <a16:creationId xmlns:a16="http://schemas.microsoft.com/office/drawing/2014/main" id="{A3FEECD8-6190-450C-B19C-2D6A0603B555}"/>
            </a:ext>
          </a:extLst>
        </xdr:cNvPr>
        <xdr:cNvCxnSpPr/>
      </xdr:nvCxnSpPr>
      <xdr:spPr>
        <a:xfrm flipV="1">
          <a:off x="12119349" y="2697444"/>
          <a:ext cx="96512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C621A2EB-7E6D-4C43-ADAD-C2E2F994331A}"/>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625929</xdr:colOff>
      <xdr:row>20</xdr:row>
      <xdr:rowOff>64861</xdr:rowOff>
    </xdr:from>
    <xdr:to>
      <xdr:col>13</xdr:col>
      <xdr:colOff>1060127</xdr:colOff>
      <xdr:row>24</xdr:row>
      <xdr:rowOff>30390</xdr:rowOff>
    </xdr:to>
    <xdr:cxnSp macro="">
      <xdr:nvCxnSpPr>
        <xdr:cNvPr id="2" name="Straight Arrow Connector 5">
          <a:extLst>
            <a:ext uri="{FF2B5EF4-FFF2-40B4-BE49-F238E27FC236}">
              <a16:creationId xmlns:a16="http://schemas.microsoft.com/office/drawing/2014/main" id="{4C76C962-BD29-4563-8AC9-3CD26DCAF87D}"/>
            </a:ext>
          </a:extLst>
        </xdr:cNvPr>
        <xdr:cNvCxnSpPr>
          <a:stCxn id="10" idx="0"/>
        </xdr:cNvCxnSpPr>
      </xdr:nvCxnSpPr>
      <xdr:spPr>
        <a:xfrm flipH="1" flipV="1">
          <a:off x="15321643" y="4677682"/>
          <a:ext cx="434198" cy="67310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7</xdr:row>
      <xdr:rowOff>123825</xdr:rowOff>
    </xdr:from>
    <xdr:to>
      <xdr:col>13</xdr:col>
      <xdr:colOff>31750</xdr:colOff>
      <xdr:row>19</xdr:row>
      <xdr:rowOff>0</xdr:rowOff>
    </xdr:to>
    <xdr:cxnSp macro="">
      <xdr:nvCxnSpPr>
        <xdr:cNvPr id="20" name="Straight Arrow Connector 2">
          <a:extLst>
            <a:ext uri="{FF2B5EF4-FFF2-40B4-BE49-F238E27FC236}">
              <a16:creationId xmlns:a16="http://schemas.microsoft.com/office/drawing/2014/main" id="{3A3BD47B-1D74-4FBA-B056-8CACC50C10C1}"/>
            </a:ext>
          </a:extLst>
        </xdr:cNvPr>
        <xdr:cNvCxnSpPr/>
      </xdr:nvCxnSpPr>
      <xdr:spPr>
        <a:xfrm>
          <a:off x="15078075" y="2632075"/>
          <a:ext cx="511175" cy="197167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19</xdr:row>
      <xdr:rowOff>95251</xdr:rowOff>
    </xdr:from>
    <xdr:to>
      <xdr:col>13</xdr:col>
      <xdr:colOff>0</xdr:colOff>
      <xdr:row>19</xdr:row>
      <xdr:rowOff>95251</xdr:rowOff>
    </xdr:to>
    <xdr:cxnSp macro="">
      <xdr:nvCxnSpPr>
        <xdr:cNvPr id="23" name="Straight Arrow Connector 3">
          <a:extLst>
            <a:ext uri="{FF2B5EF4-FFF2-40B4-BE49-F238E27FC236}">
              <a16:creationId xmlns:a16="http://schemas.microsoft.com/office/drawing/2014/main" id="{E1D207F5-9EC5-41F8-BACB-4FA2CA97A60A}"/>
            </a:ext>
          </a:extLst>
        </xdr:cNvPr>
        <xdr:cNvCxnSpPr/>
      </xdr:nvCxnSpPr>
      <xdr:spPr>
        <a:xfrm flipV="1">
          <a:off x="14065624" y="4855510"/>
          <a:ext cx="510988"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771527</xdr:colOff>
      <xdr:row>4</xdr:row>
      <xdr:rowOff>1173393</xdr:rowOff>
    </xdr:from>
    <xdr:to>
      <xdr:col>13</xdr:col>
      <xdr:colOff>1094242</xdr:colOff>
      <xdr:row>7</xdr:row>
      <xdr:rowOff>0</xdr:rowOff>
    </xdr:to>
    <xdr:cxnSp macro="">
      <xdr:nvCxnSpPr>
        <xdr:cNvPr id="5" name="Straight Arrow Connector 20">
          <a:extLst>
            <a:ext uri="{FF2B5EF4-FFF2-40B4-BE49-F238E27FC236}">
              <a16:creationId xmlns:a16="http://schemas.microsoft.com/office/drawing/2014/main" id="{A056A51C-09DD-4CF0-B0F2-CA97E7A1D152}"/>
            </a:ext>
          </a:extLst>
        </xdr:cNvPr>
        <xdr:cNvCxnSpPr>
          <a:cxnSpLocks/>
          <a:stCxn id="14" idx="0"/>
        </xdr:cNvCxnSpPr>
      </xdr:nvCxnSpPr>
      <xdr:spPr>
        <a:xfrm flipH="1" flipV="1">
          <a:off x="14854920" y="2343607"/>
          <a:ext cx="1805893" cy="3778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1532</xdr:colOff>
      <xdr:row>7</xdr:row>
      <xdr:rowOff>47625</xdr:rowOff>
    </xdr:from>
    <xdr:to>
      <xdr:col>11</xdr:col>
      <xdr:colOff>31750</xdr:colOff>
      <xdr:row>7</xdr:row>
      <xdr:rowOff>47625</xdr:rowOff>
    </xdr:to>
    <xdr:cxnSp macro="">
      <xdr:nvCxnSpPr>
        <xdr:cNvPr id="15" name="Straight Arrow Connector 5">
          <a:extLst>
            <a:ext uri="{FF2B5EF4-FFF2-40B4-BE49-F238E27FC236}">
              <a16:creationId xmlns:a16="http://schemas.microsoft.com/office/drawing/2014/main" id="{AF3AE2A4-7FFC-4317-AF6A-F73C6AE4AC90}"/>
            </a:ext>
          </a:extLst>
        </xdr:cNvPr>
        <xdr:cNvCxnSpPr/>
      </xdr:nvCxnSpPr>
      <xdr:spPr>
        <a:xfrm flipV="1">
          <a:off x="12130779" y="2656354"/>
          <a:ext cx="980477"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982891</xdr:colOff>
      <xdr:row>24</xdr:row>
      <xdr:rowOff>158750</xdr:rowOff>
    </xdr:from>
    <xdr:to>
      <xdr:col>16</xdr:col>
      <xdr:colOff>381000</xdr:colOff>
      <xdr:row>25</xdr:row>
      <xdr:rowOff>163286</xdr:rowOff>
    </xdr:to>
    <xdr:cxnSp macro="">
      <xdr:nvCxnSpPr>
        <xdr:cNvPr id="19" name="Straight Arrow Connector 5">
          <a:extLst>
            <a:ext uri="{FF2B5EF4-FFF2-40B4-BE49-F238E27FC236}">
              <a16:creationId xmlns:a16="http://schemas.microsoft.com/office/drawing/2014/main" id="{2FD3BBFD-0EBB-4B56-B730-C5964CED38DD}"/>
            </a:ext>
          </a:extLst>
        </xdr:cNvPr>
        <xdr:cNvCxnSpPr/>
      </xdr:nvCxnSpPr>
      <xdr:spPr>
        <a:xfrm flipH="1">
          <a:off x="19080391" y="6032500"/>
          <a:ext cx="858609" cy="17916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47625</xdr:colOff>
      <xdr:row>24</xdr:row>
      <xdr:rowOff>142875</xdr:rowOff>
    </xdr:from>
    <xdr:to>
      <xdr:col>18</xdr:col>
      <xdr:colOff>734786</xdr:colOff>
      <xdr:row>25</xdr:row>
      <xdr:rowOff>122464</xdr:rowOff>
    </xdr:to>
    <xdr:cxnSp macro="">
      <xdr:nvCxnSpPr>
        <xdr:cNvPr id="12" name="Straight Arrow Connector 5">
          <a:extLst>
            <a:ext uri="{FF2B5EF4-FFF2-40B4-BE49-F238E27FC236}">
              <a16:creationId xmlns:a16="http://schemas.microsoft.com/office/drawing/2014/main" id="{536A1E89-BCD6-429C-897E-6FBDC2E589BE}"/>
            </a:ext>
          </a:extLst>
        </xdr:cNvPr>
        <xdr:cNvCxnSpPr>
          <a:cxnSpLocks/>
        </xdr:cNvCxnSpPr>
      </xdr:nvCxnSpPr>
      <xdr:spPr>
        <a:xfrm>
          <a:off x="21066125" y="6016625"/>
          <a:ext cx="1814286" cy="15421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390525</xdr:colOff>
      <xdr:row>24</xdr:row>
      <xdr:rowOff>27215</xdr:rowOff>
    </xdr:from>
    <xdr:to>
      <xdr:col>14</xdr:col>
      <xdr:colOff>906949</xdr:colOff>
      <xdr:row>27</xdr:row>
      <xdr:rowOff>142986</xdr:rowOff>
    </xdr:to>
    <xdr:sp macro="" textlink="">
      <xdr:nvSpPr>
        <xdr:cNvPr id="10" name="TextBox 9">
          <a:extLst>
            <a:ext uri="{FF2B5EF4-FFF2-40B4-BE49-F238E27FC236}">
              <a16:creationId xmlns:a16="http://schemas.microsoft.com/office/drawing/2014/main" id="{165B13CF-883A-457B-9C36-7B37FB45520C}"/>
            </a:ext>
          </a:extLst>
        </xdr:cNvPr>
        <xdr:cNvSpPr txBox="1"/>
      </xdr:nvSpPr>
      <xdr:spPr>
        <a:xfrm>
          <a:off x="14582775" y="5347608"/>
          <a:ext cx="2339781" cy="6464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408213</xdr:colOff>
      <xdr:row>17</xdr:row>
      <xdr:rowOff>125641</xdr:rowOff>
    </xdr:from>
    <xdr:to>
      <xdr:col>18</xdr:col>
      <xdr:colOff>326571</xdr:colOff>
      <xdr:row>20</xdr:row>
      <xdr:rowOff>84819</xdr:rowOff>
    </xdr:to>
    <xdr:sp macro="" textlink="">
      <xdr:nvSpPr>
        <xdr:cNvPr id="11" name="TextBox 10">
          <a:extLst>
            <a:ext uri="{FF2B5EF4-FFF2-40B4-BE49-F238E27FC236}">
              <a16:creationId xmlns:a16="http://schemas.microsoft.com/office/drawing/2014/main" id="{11B611DE-2FBA-449E-AA5A-862ABD609D69}"/>
            </a:ext>
          </a:extLst>
        </xdr:cNvPr>
        <xdr:cNvSpPr txBox="1"/>
      </xdr:nvSpPr>
      <xdr:spPr>
        <a:xfrm>
          <a:off x="17648463" y="4207784"/>
          <a:ext cx="395967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13</xdr:col>
      <xdr:colOff>0</xdr:colOff>
      <xdr:row>7</xdr:row>
      <xdr:rowOff>0</xdr:rowOff>
    </xdr:from>
    <xdr:to>
      <xdr:col>14</xdr:col>
      <xdr:colOff>868590</xdr:colOff>
      <xdr:row>10</xdr:row>
      <xdr:rowOff>95250</xdr:rowOff>
    </xdr:to>
    <xdr:sp macro="" textlink="">
      <xdr:nvSpPr>
        <xdr:cNvPr id="14" name="TextBox 13">
          <a:extLst>
            <a:ext uri="{FF2B5EF4-FFF2-40B4-BE49-F238E27FC236}">
              <a16:creationId xmlns:a16="http://schemas.microsoft.com/office/drawing/2014/main" id="{ABC84D9D-C307-4D56-B2A0-ED72B8A0772D}"/>
            </a:ext>
          </a:extLst>
        </xdr:cNvPr>
        <xdr:cNvSpPr txBox="1"/>
      </xdr:nvSpPr>
      <xdr:spPr>
        <a:xfrm>
          <a:off x="15566571" y="2721429"/>
          <a:ext cx="2188483" cy="6259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14</xdr:col>
      <xdr:colOff>1182914</xdr:colOff>
      <xdr:row>19</xdr:row>
      <xdr:rowOff>16783</xdr:rowOff>
    </xdr:from>
    <xdr:to>
      <xdr:col>15</xdr:col>
      <xdr:colOff>411388</xdr:colOff>
      <xdr:row>19</xdr:row>
      <xdr:rowOff>95249</xdr:rowOff>
    </xdr:to>
    <xdr:cxnSp macro="">
      <xdr:nvCxnSpPr>
        <xdr:cNvPr id="18" name="Straight Arrow Connector 5">
          <a:extLst>
            <a:ext uri="{FF2B5EF4-FFF2-40B4-BE49-F238E27FC236}">
              <a16:creationId xmlns:a16="http://schemas.microsoft.com/office/drawing/2014/main" id="{54F7D9B4-8A08-4C6B-9DAE-C64DBD772A96}"/>
            </a:ext>
          </a:extLst>
        </xdr:cNvPr>
        <xdr:cNvCxnSpPr>
          <a:stCxn id="11" idx="1"/>
        </xdr:cNvCxnSpPr>
      </xdr:nvCxnSpPr>
      <xdr:spPr>
        <a:xfrm flipH="1">
          <a:off x="17198521" y="4452712"/>
          <a:ext cx="453117" cy="7846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1031875</xdr:colOff>
      <xdr:row>21</xdr:row>
      <xdr:rowOff>31750</xdr:rowOff>
    </xdr:from>
    <xdr:to>
      <xdr:col>18</xdr:col>
      <xdr:colOff>1108999</xdr:colOff>
      <xdr:row>24</xdr:row>
      <xdr:rowOff>145253</xdr:rowOff>
    </xdr:to>
    <xdr:sp macro="" textlink="">
      <xdr:nvSpPr>
        <xdr:cNvPr id="6" name="TextBox 27">
          <a:extLst>
            <a:ext uri="{FF2B5EF4-FFF2-40B4-BE49-F238E27FC236}">
              <a16:creationId xmlns:a16="http://schemas.microsoft.com/office/drawing/2014/main" id="{4DE3D25F-5861-4EA9-BE20-3852D160AF9B}"/>
            </a:ext>
          </a:extLst>
        </xdr:cNvPr>
        <xdr:cNvSpPr txBox="1"/>
      </xdr:nvSpPr>
      <xdr:spPr>
        <a:xfrm>
          <a:off x="19129375" y="5381625"/>
          <a:ext cx="4125249"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312A7DAF-0032-4308-B6CA-0AC5CC8113BF}"/>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936000</xdr:colOff>
      <xdr:row>7</xdr:row>
      <xdr:rowOff>73299</xdr:rowOff>
    </xdr:from>
    <xdr:to>
      <xdr:col>11</xdr:col>
      <xdr:colOff>108753</xdr:colOff>
      <xdr:row>7</xdr:row>
      <xdr:rowOff>73299</xdr:rowOff>
    </xdr:to>
    <xdr:cxnSp macro="">
      <xdr:nvCxnSpPr>
        <xdr:cNvPr id="3" name="Straight Arrow Connector 18">
          <a:extLst>
            <a:ext uri="{FF2B5EF4-FFF2-40B4-BE49-F238E27FC236}">
              <a16:creationId xmlns:a16="http://schemas.microsoft.com/office/drawing/2014/main" id="{CDEBA06D-E070-4591-B6A8-C36C0788C9C8}"/>
            </a:ext>
          </a:extLst>
        </xdr:cNvPr>
        <xdr:cNvCxnSpPr/>
      </xdr:nvCxnSpPr>
      <xdr:spPr>
        <a:xfrm>
          <a:off x="12106024" y="2682028"/>
          <a:ext cx="108223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211763</xdr:colOff>
      <xdr:row>9</xdr:row>
      <xdr:rowOff>14404</xdr:rowOff>
    </xdr:from>
    <xdr:to>
      <xdr:col>13</xdr:col>
      <xdr:colOff>621175</xdr:colOff>
      <xdr:row>13</xdr:row>
      <xdr:rowOff>87668</xdr:rowOff>
    </xdr:to>
    <xdr:cxnSp macro="">
      <xdr:nvCxnSpPr>
        <xdr:cNvPr id="73" name="Straight Arrow Connector 5">
          <a:extLst>
            <a:ext uri="{FF2B5EF4-FFF2-40B4-BE49-F238E27FC236}">
              <a16:creationId xmlns:a16="http://schemas.microsoft.com/office/drawing/2014/main" id="{5D22F8DB-BDCA-489F-9315-A55535B4E627}"/>
            </a:ext>
          </a:extLst>
        </xdr:cNvPr>
        <xdr:cNvCxnSpPr>
          <a:stCxn id="72" idx="0"/>
        </xdr:cNvCxnSpPr>
      </xdr:nvCxnSpPr>
      <xdr:spPr>
        <a:xfrm flipV="1">
          <a:off x="17198013" y="3062404"/>
          <a:ext cx="409412" cy="77176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981951</xdr:colOff>
      <xdr:row>7</xdr:row>
      <xdr:rowOff>30700</xdr:rowOff>
    </xdr:from>
    <xdr:to>
      <xdr:col>13</xdr:col>
      <xdr:colOff>12243</xdr:colOff>
      <xdr:row>7</xdr:row>
      <xdr:rowOff>160534</xdr:rowOff>
    </xdr:to>
    <xdr:cxnSp macro="">
      <xdr:nvCxnSpPr>
        <xdr:cNvPr id="13" name="Straight Arrow Connector 15">
          <a:extLst>
            <a:ext uri="{FF2B5EF4-FFF2-40B4-BE49-F238E27FC236}">
              <a16:creationId xmlns:a16="http://schemas.microsoft.com/office/drawing/2014/main" id="{03C2CE67-4282-4699-8E4E-2C420F563AC6}"/>
            </a:ext>
          </a:extLst>
        </xdr:cNvPr>
        <xdr:cNvCxnSpPr/>
      </xdr:nvCxnSpPr>
      <xdr:spPr>
        <a:xfrm>
          <a:off x="15856826" y="2729450"/>
          <a:ext cx="1141667" cy="12983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981951</xdr:colOff>
      <xdr:row>8</xdr:row>
      <xdr:rowOff>68242</xdr:rowOff>
    </xdr:from>
    <xdr:to>
      <xdr:col>13</xdr:col>
      <xdr:colOff>12243</xdr:colOff>
      <xdr:row>8</xdr:row>
      <xdr:rowOff>68242</xdr:rowOff>
    </xdr:to>
    <xdr:cxnSp macro="">
      <xdr:nvCxnSpPr>
        <xdr:cNvPr id="9" name="Straight Arrow Connector 16">
          <a:extLst>
            <a:ext uri="{FF2B5EF4-FFF2-40B4-BE49-F238E27FC236}">
              <a16:creationId xmlns:a16="http://schemas.microsoft.com/office/drawing/2014/main" id="{9AAD6653-5853-49AA-AC6B-82E8330085BD}"/>
            </a:ext>
          </a:extLst>
        </xdr:cNvPr>
        <xdr:cNvCxnSpPr/>
      </xdr:nvCxnSpPr>
      <xdr:spPr>
        <a:xfrm flipV="1">
          <a:off x="14061457" y="2856266"/>
          <a:ext cx="527398"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440102</xdr:colOff>
      <xdr:row>4</xdr:row>
      <xdr:rowOff>1165407</xdr:rowOff>
    </xdr:from>
    <xdr:to>
      <xdr:col>12</xdr:col>
      <xdr:colOff>103038</xdr:colOff>
      <xdr:row>6</xdr:row>
      <xdr:rowOff>2658</xdr:rowOff>
    </xdr:to>
    <xdr:cxnSp macro="">
      <xdr:nvCxnSpPr>
        <xdr:cNvPr id="79" name="Straight Arrow Connector 20">
          <a:extLst>
            <a:ext uri="{FF2B5EF4-FFF2-40B4-BE49-F238E27FC236}">
              <a16:creationId xmlns:a16="http://schemas.microsoft.com/office/drawing/2014/main" id="{DADAA027-D55C-4BA3-B0C0-C296EB88A2B8}"/>
            </a:ext>
          </a:extLst>
        </xdr:cNvPr>
        <xdr:cNvCxnSpPr>
          <a:cxnSpLocks/>
          <a:stCxn id="78" idx="1"/>
        </xdr:cNvCxnSpPr>
      </xdr:nvCxnSpPr>
      <xdr:spPr>
        <a:xfrm flipH="1" flipV="1">
          <a:off x="13508402" y="2213157"/>
          <a:ext cx="644011" cy="22790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1180120</xdr:colOff>
      <xdr:row>8</xdr:row>
      <xdr:rowOff>80909</xdr:rowOff>
    </xdr:from>
    <xdr:to>
      <xdr:col>15</xdr:col>
      <xdr:colOff>1017905</xdr:colOff>
      <xdr:row>9</xdr:row>
      <xdr:rowOff>128912</xdr:rowOff>
    </xdr:to>
    <xdr:cxnSp macro="">
      <xdr:nvCxnSpPr>
        <xdr:cNvPr id="76" name="Straight Arrow Connector 5">
          <a:extLst>
            <a:ext uri="{FF2B5EF4-FFF2-40B4-BE49-F238E27FC236}">
              <a16:creationId xmlns:a16="http://schemas.microsoft.com/office/drawing/2014/main" id="{39BCEA74-9224-4A0C-9216-938CF308E12E}"/>
            </a:ext>
          </a:extLst>
        </xdr:cNvPr>
        <xdr:cNvCxnSpPr>
          <a:stCxn id="74" idx="1"/>
        </xdr:cNvCxnSpPr>
      </xdr:nvCxnSpPr>
      <xdr:spPr>
        <a:xfrm flipH="1" flipV="1">
          <a:off x="19483995" y="2954284"/>
          <a:ext cx="1060160" cy="2226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84018</xdr:colOff>
      <xdr:row>13</xdr:row>
      <xdr:rowOff>87668</xdr:rowOff>
    </xdr:from>
    <xdr:to>
      <xdr:col>14</xdr:col>
      <xdr:colOff>158760</xdr:colOff>
      <xdr:row>17</xdr:row>
      <xdr:rowOff>40709</xdr:rowOff>
    </xdr:to>
    <xdr:sp macro="" textlink="">
      <xdr:nvSpPr>
        <xdr:cNvPr id="72" name="TextBox 20">
          <a:extLst>
            <a:ext uri="{FF2B5EF4-FFF2-40B4-BE49-F238E27FC236}">
              <a16:creationId xmlns:a16="http://schemas.microsoft.com/office/drawing/2014/main" id="{A6F0B949-07D8-4305-B34F-A4C48A537DDC}"/>
            </a:ext>
          </a:extLst>
        </xdr:cNvPr>
        <xdr:cNvSpPr txBox="1"/>
      </xdr:nvSpPr>
      <xdr:spPr>
        <a:xfrm>
          <a:off x="15943143" y="3834168"/>
          <a:ext cx="2519492" cy="6515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hydrogen output.</a:t>
          </a:r>
          <a:endParaRPr lang="en-GB" sz="1100"/>
        </a:p>
      </xdr:txBody>
    </xdr:sp>
    <xdr:clientData/>
  </xdr:twoCellAnchor>
  <xdr:twoCellAnchor>
    <xdr:from>
      <xdr:col>12</xdr:col>
      <xdr:colOff>103038</xdr:colOff>
      <xdr:row>5</xdr:row>
      <xdr:rowOff>60800</xdr:rowOff>
    </xdr:from>
    <xdr:to>
      <xdr:col>16</xdr:col>
      <xdr:colOff>304800</xdr:colOff>
      <xdr:row>6</xdr:row>
      <xdr:rowOff>135015</xdr:rowOff>
    </xdr:to>
    <xdr:sp macro="" textlink="">
      <xdr:nvSpPr>
        <xdr:cNvPr id="78" name="TextBox 21">
          <a:extLst>
            <a:ext uri="{FF2B5EF4-FFF2-40B4-BE49-F238E27FC236}">
              <a16:creationId xmlns:a16="http://schemas.microsoft.com/office/drawing/2014/main" id="{0057208F-37DA-4617-B7C5-C7B99D570382}"/>
            </a:ext>
          </a:extLst>
        </xdr:cNvPr>
        <xdr:cNvSpPr txBox="1"/>
      </xdr:nvSpPr>
      <xdr:spPr>
        <a:xfrm>
          <a:off x="14152413" y="2308700"/>
          <a:ext cx="4640412" cy="26471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367937</xdr:colOff>
      <xdr:row>16</xdr:row>
      <xdr:rowOff>45117</xdr:rowOff>
    </xdr:from>
    <xdr:to>
      <xdr:col>18</xdr:col>
      <xdr:colOff>883920</xdr:colOff>
      <xdr:row>20</xdr:row>
      <xdr:rowOff>6303</xdr:rowOff>
    </xdr:to>
    <xdr:grpSp>
      <xdr:nvGrpSpPr>
        <xdr:cNvPr id="4" name="Group 3">
          <a:extLst>
            <a:ext uri="{FF2B5EF4-FFF2-40B4-BE49-F238E27FC236}">
              <a16:creationId xmlns:a16="http://schemas.microsoft.com/office/drawing/2014/main" id="{553322CE-84BD-48EF-A1C1-665861A5C4A4}"/>
            </a:ext>
          </a:extLst>
        </xdr:cNvPr>
        <xdr:cNvGrpSpPr/>
      </xdr:nvGrpSpPr>
      <xdr:grpSpPr>
        <a:xfrm>
          <a:off x="17436737" y="4312317"/>
          <a:ext cx="4927963" cy="906066"/>
          <a:chOff x="20261852" y="4189307"/>
          <a:chExt cx="5103844" cy="575763"/>
        </a:xfrm>
      </xdr:grpSpPr>
      <xdr:cxnSp macro="">
        <xdr:nvCxnSpPr>
          <xdr:cNvPr id="101" name="Straight Arrow Connector 5">
            <a:extLst>
              <a:ext uri="{FF2B5EF4-FFF2-40B4-BE49-F238E27FC236}">
                <a16:creationId xmlns:a16="http://schemas.microsoft.com/office/drawing/2014/main" id="{61939910-823E-43D6-96FF-A46CEFFA76BA}"/>
              </a:ext>
            </a:extLst>
          </xdr:cNvPr>
          <xdr:cNvCxnSpPr/>
        </xdr:nvCxnSpPr>
        <xdr:spPr>
          <a:xfrm flipH="1">
            <a:off x="22028252" y="4361505"/>
            <a:ext cx="517304" cy="37813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3" name="Straight Arrow Connector 5">
            <a:extLst>
              <a:ext uri="{FF2B5EF4-FFF2-40B4-BE49-F238E27FC236}">
                <a16:creationId xmlns:a16="http://schemas.microsoft.com/office/drawing/2014/main" id="{1AC6FF34-3C9E-4B70-97DA-56FAA884FF0D}"/>
              </a:ext>
            </a:extLst>
          </xdr:cNvPr>
          <xdr:cNvCxnSpPr/>
        </xdr:nvCxnSpPr>
        <xdr:spPr>
          <a:xfrm flipH="1">
            <a:off x="20261852" y="4365625"/>
            <a:ext cx="1934573" cy="39944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9" name="Straight Arrow Connector 5">
            <a:extLst>
              <a:ext uri="{FF2B5EF4-FFF2-40B4-BE49-F238E27FC236}">
                <a16:creationId xmlns:a16="http://schemas.microsoft.com/office/drawing/2014/main" id="{5FD61BCC-CC15-4856-AC0F-477336A76DA6}"/>
              </a:ext>
            </a:extLst>
          </xdr:cNvPr>
          <xdr:cNvCxnSpPr>
            <a:stCxn id="102" idx="3"/>
          </xdr:cNvCxnSpPr>
        </xdr:nvCxnSpPr>
        <xdr:spPr>
          <a:xfrm>
            <a:off x="24840490" y="4189307"/>
            <a:ext cx="525206" cy="53019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1014726</xdr:colOff>
      <xdr:row>7</xdr:row>
      <xdr:rowOff>159177</xdr:rowOff>
    </xdr:from>
    <xdr:to>
      <xdr:col>17</xdr:col>
      <xdr:colOff>896634</xdr:colOff>
      <xdr:row>11</xdr:row>
      <xdr:rowOff>104979</xdr:rowOff>
    </xdr:to>
    <xdr:sp macro="" textlink="">
      <xdr:nvSpPr>
        <xdr:cNvPr id="74" name="TextBox 26">
          <a:extLst>
            <a:ext uri="{FF2B5EF4-FFF2-40B4-BE49-F238E27FC236}">
              <a16:creationId xmlns:a16="http://schemas.microsoft.com/office/drawing/2014/main" id="{1C63E7F2-4B80-4248-924C-D5598A06F6AD}"/>
            </a:ext>
          </a:extLst>
        </xdr:cNvPr>
        <xdr:cNvSpPr txBox="1"/>
      </xdr:nvSpPr>
      <xdr:spPr>
        <a:xfrm>
          <a:off x="20540976" y="2857927"/>
          <a:ext cx="2802908" cy="6443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15</xdr:col>
      <xdr:colOff>693255</xdr:colOff>
      <xdr:row>14</xdr:row>
      <xdr:rowOff>8248</xdr:rowOff>
    </xdr:from>
    <xdr:to>
      <xdr:col>18</xdr:col>
      <xdr:colOff>361889</xdr:colOff>
      <xdr:row>17</xdr:row>
      <xdr:rowOff>122620</xdr:rowOff>
    </xdr:to>
    <xdr:sp macro="" textlink="">
      <xdr:nvSpPr>
        <xdr:cNvPr id="102" name="TextBox 27">
          <a:extLst>
            <a:ext uri="{FF2B5EF4-FFF2-40B4-BE49-F238E27FC236}">
              <a16:creationId xmlns:a16="http://schemas.microsoft.com/office/drawing/2014/main" id="{30A2B87C-D7EF-4995-97A7-6C06A1B6B519}"/>
            </a:ext>
          </a:extLst>
        </xdr:cNvPr>
        <xdr:cNvSpPr txBox="1"/>
      </xdr:nvSpPr>
      <xdr:spPr>
        <a:xfrm>
          <a:off x="17752530" y="3894448"/>
          <a:ext cx="4145384" cy="65729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92076</xdr:colOff>
      <xdr:row>79</xdr:row>
      <xdr:rowOff>92065</xdr:rowOff>
    </xdr:from>
    <xdr:to>
      <xdr:col>7</xdr:col>
      <xdr:colOff>439271</xdr:colOff>
      <xdr:row>82</xdr:row>
      <xdr:rowOff>53786</xdr:rowOff>
    </xdr:to>
    <xdr:grpSp>
      <xdr:nvGrpSpPr>
        <xdr:cNvPr id="2" name="Group 1">
          <a:extLst>
            <a:ext uri="{FF2B5EF4-FFF2-40B4-BE49-F238E27FC236}">
              <a16:creationId xmlns:a16="http://schemas.microsoft.com/office/drawing/2014/main" id="{8B06788D-F8E6-4FF6-AF33-DCAA395463CA}"/>
            </a:ext>
          </a:extLst>
        </xdr:cNvPr>
        <xdr:cNvGrpSpPr/>
      </xdr:nvGrpSpPr>
      <xdr:grpSpPr>
        <a:xfrm>
          <a:off x="6569076" y="16383625"/>
          <a:ext cx="3143735" cy="510361"/>
          <a:chOff x="6432551" y="16522703"/>
          <a:chExt cx="4024423" cy="735563"/>
        </a:xfrm>
      </xdr:grpSpPr>
      <xdr:sp macro="" textlink="">
        <xdr:nvSpPr>
          <xdr:cNvPr id="25" name="TextBox 7">
            <a:extLst>
              <a:ext uri="{FF2B5EF4-FFF2-40B4-BE49-F238E27FC236}">
                <a16:creationId xmlns:a16="http://schemas.microsoft.com/office/drawing/2014/main" id="{6858B800-2856-4AE0-8C1A-95075CA11EAC}"/>
              </a:ext>
            </a:extLst>
          </xdr:cNvPr>
          <xdr:cNvSpPr txBox="1"/>
        </xdr:nvSpPr>
        <xdr:spPr>
          <a:xfrm>
            <a:off x="7137399" y="16573223"/>
            <a:ext cx="3319575" cy="6850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a:t>
            </a:r>
            <a:endParaRPr lang="en-GB" sz="1100"/>
          </a:p>
        </xdr:txBody>
      </xdr:sp>
      <xdr:cxnSp macro="">
        <xdr:nvCxnSpPr>
          <xdr:cNvPr id="19" name="Straight Arrow Connector 5">
            <a:extLst>
              <a:ext uri="{FF2B5EF4-FFF2-40B4-BE49-F238E27FC236}">
                <a16:creationId xmlns:a16="http://schemas.microsoft.com/office/drawing/2014/main" id="{51F3A892-ECE2-44AD-B2FD-9E3D80F82FB4}"/>
              </a:ext>
            </a:extLst>
          </xdr:cNvPr>
          <xdr:cNvCxnSpPr>
            <a:stCxn id="25" idx="1"/>
          </xdr:cNvCxnSpPr>
        </xdr:nvCxnSpPr>
        <xdr:spPr>
          <a:xfrm flipH="1" flipV="1">
            <a:off x="6432551" y="16522703"/>
            <a:ext cx="704848" cy="39304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0</xdr:colOff>
      <xdr:row>4</xdr:row>
      <xdr:rowOff>0</xdr:rowOff>
    </xdr:from>
    <xdr:to>
      <xdr:col>2</xdr:col>
      <xdr:colOff>2371567</xdr:colOff>
      <xdr:row>4</xdr:row>
      <xdr:rowOff>828130</xdr:rowOff>
    </xdr:to>
    <xdr:sp macro="" textlink="">
      <xdr:nvSpPr>
        <xdr:cNvPr id="21" name="TextBox 17">
          <a:extLst>
            <a:ext uri="{FF2B5EF4-FFF2-40B4-BE49-F238E27FC236}">
              <a16:creationId xmlns:a16="http://schemas.microsoft.com/office/drawing/2014/main" id="{F6A4E447-5B3E-49F1-AEB2-23050A2354D9}"/>
            </a:ext>
          </a:extLst>
        </xdr:cNvPr>
        <xdr:cNvSpPr txBox="1"/>
      </xdr:nvSpPr>
      <xdr:spPr>
        <a:xfrm>
          <a:off x="286871" y="1156447"/>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169636</xdr:colOff>
      <xdr:row>33</xdr:row>
      <xdr:rowOff>105682</xdr:rowOff>
    </xdr:from>
    <xdr:to>
      <xdr:col>31</xdr:col>
      <xdr:colOff>40822</xdr:colOff>
      <xdr:row>36</xdr:row>
      <xdr:rowOff>54428</xdr:rowOff>
    </xdr:to>
    <xdr:sp macro="" textlink="">
      <xdr:nvSpPr>
        <xdr:cNvPr id="2" name="Rectangle 1">
          <a:extLst>
            <a:ext uri="{FF2B5EF4-FFF2-40B4-BE49-F238E27FC236}">
              <a16:creationId xmlns:a16="http://schemas.microsoft.com/office/drawing/2014/main" id="{4661FF24-10E8-4BD9-A986-2FB01A9E89A1}"/>
            </a:ext>
          </a:extLst>
        </xdr:cNvPr>
        <xdr:cNvSpPr/>
      </xdr:nvSpPr>
      <xdr:spPr>
        <a:xfrm>
          <a:off x="26404207" y="7072539"/>
          <a:ext cx="4905829" cy="479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GB" sz="1100">
              <a:solidFill>
                <a:schemeClr val="lt1"/>
              </a:solidFill>
              <a:effectLst/>
              <a:latin typeface="+mn-lt"/>
              <a:ea typeface="+mn-ea"/>
              <a:cs typeface="+mn-cs"/>
            </a:rPr>
            <a:t>If dLUC</a:t>
          </a:r>
          <a:r>
            <a:rPr lang="en-GB" sz="1100" baseline="0">
              <a:solidFill>
                <a:schemeClr val="lt1"/>
              </a:solidFill>
              <a:effectLst/>
              <a:latin typeface="+mn-lt"/>
              <a:ea typeface="+mn-ea"/>
              <a:cs typeface="+mn-cs"/>
            </a:rPr>
            <a:t> emissions </a:t>
          </a:r>
          <a:r>
            <a:rPr lang="en-GB" sz="1100">
              <a:solidFill>
                <a:schemeClr val="lt1"/>
              </a:solidFill>
              <a:effectLst/>
              <a:latin typeface="+mn-lt"/>
              <a:ea typeface="+mn-ea"/>
              <a:cs typeface="+mn-cs"/>
            </a:rPr>
            <a:t>are unknown, see the Guidance Feedstock dLUC</a:t>
          </a:r>
          <a:r>
            <a:rPr lang="en-GB" sz="1100" baseline="0">
              <a:solidFill>
                <a:schemeClr val="lt1"/>
              </a:solidFill>
              <a:effectLst/>
              <a:latin typeface="+mn-lt"/>
              <a:ea typeface="+mn-ea"/>
              <a:cs typeface="+mn-cs"/>
            </a:rPr>
            <a:t> worksheet</a:t>
          </a:r>
          <a:r>
            <a:rPr lang="en-GB" sz="1100">
              <a:solidFill>
                <a:schemeClr val="lt1"/>
              </a:solidFill>
              <a:effectLst/>
              <a:latin typeface="+mn-lt"/>
              <a:ea typeface="+mn-ea"/>
              <a:cs typeface="+mn-cs"/>
            </a:rPr>
            <a:t> for instructions on how to calculate this</a:t>
          </a:r>
          <a:endParaRPr lang="en-GB">
            <a:effectLst/>
          </a:endParaRPr>
        </a:p>
      </xdr:txBody>
    </xdr:sp>
    <xdr:clientData/>
  </xdr:twoCellAnchor>
  <xdr:twoCellAnchor>
    <xdr:from>
      <xdr:col>11</xdr:col>
      <xdr:colOff>882651</xdr:colOff>
      <xdr:row>5</xdr:row>
      <xdr:rowOff>85726</xdr:rowOff>
    </xdr:from>
    <xdr:to>
      <xdr:col>13</xdr:col>
      <xdr:colOff>28120</xdr:colOff>
      <xdr:row>9</xdr:row>
      <xdr:rowOff>98426</xdr:rowOff>
    </xdr:to>
    <xdr:cxnSp macro="">
      <xdr:nvCxnSpPr>
        <xdr:cNvPr id="26" name="Straight Arrow Connector 20">
          <a:extLst>
            <a:ext uri="{FF2B5EF4-FFF2-40B4-BE49-F238E27FC236}">
              <a16:creationId xmlns:a16="http://schemas.microsoft.com/office/drawing/2014/main" id="{368C0682-59F0-428C-807E-2FFBB5E203AF}"/>
            </a:ext>
          </a:extLst>
        </xdr:cNvPr>
        <xdr:cNvCxnSpPr>
          <a:cxnSpLocks/>
          <a:stCxn id="24" idx="1"/>
        </xdr:cNvCxnSpPr>
      </xdr:nvCxnSpPr>
      <xdr:spPr>
        <a:xfrm flipH="1" flipV="1">
          <a:off x="16017876" y="2428876"/>
          <a:ext cx="631369" cy="7461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27214</xdr:colOff>
      <xdr:row>9</xdr:row>
      <xdr:rowOff>95251</xdr:rowOff>
    </xdr:from>
    <xdr:to>
      <xdr:col>11</xdr:col>
      <xdr:colOff>19050</xdr:colOff>
      <xdr:row>9</xdr:row>
      <xdr:rowOff>95251</xdr:rowOff>
    </xdr:to>
    <xdr:cxnSp macro="">
      <xdr:nvCxnSpPr>
        <xdr:cNvPr id="4" name="Straight Arrow Connector 3">
          <a:extLst>
            <a:ext uri="{FF2B5EF4-FFF2-40B4-BE49-F238E27FC236}">
              <a16:creationId xmlns:a16="http://schemas.microsoft.com/office/drawing/2014/main" id="{099C1B9D-4D99-4251-A460-1AAD799D33B5}"/>
            </a:ext>
          </a:extLst>
        </xdr:cNvPr>
        <xdr:cNvCxnSpPr/>
      </xdr:nvCxnSpPr>
      <xdr:spPr>
        <a:xfrm flipV="1">
          <a:off x="12156461" y="3062569"/>
          <a:ext cx="94209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890497</xdr:colOff>
      <xdr:row>19</xdr:row>
      <xdr:rowOff>108857</xdr:rowOff>
    </xdr:from>
    <xdr:to>
      <xdr:col>14</xdr:col>
      <xdr:colOff>149678</xdr:colOff>
      <xdr:row>25</xdr:row>
      <xdr:rowOff>16512</xdr:rowOff>
    </xdr:to>
    <xdr:cxnSp macro="">
      <xdr:nvCxnSpPr>
        <xdr:cNvPr id="16" name="Straight Arrow Connector 5">
          <a:extLst>
            <a:ext uri="{FF2B5EF4-FFF2-40B4-BE49-F238E27FC236}">
              <a16:creationId xmlns:a16="http://schemas.microsoft.com/office/drawing/2014/main" id="{67D8E231-410B-491E-8BF4-9EE4EDD88E7D}"/>
            </a:ext>
          </a:extLst>
        </xdr:cNvPr>
        <xdr:cNvCxnSpPr>
          <a:stCxn id="13" idx="0"/>
        </xdr:cNvCxnSpPr>
      </xdr:nvCxnSpPr>
      <xdr:spPr>
        <a:xfrm flipV="1">
          <a:off x="17191854" y="4776107"/>
          <a:ext cx="551860" cy="96901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920750</xdr:colOff>
      <xdr:row>23</xdr:row>
      <xdr:rowOff>152058</xdr:rowOff>
    </xdr:from>
    <xdr:to>
      <xdr:col>16</xdr:col>
      <xdr:colOff>1447572</xdr:colOff>
      <xdr:row>25</xdr:row>
      <xdr:rowOff>127000</xdr:rowOff>
    </xdr:to>
    <xdr:cxnSp macro="">
      <xdr:nvCxnSpPr>
        <xdr:cNvPr id="9" name="Straight Arrow Connector 5">
          <a:extLst>
            <a:ext uri="{FF2B5EF4-FFF2-40B4-BE49-F238E27FC236}">
              <a16:creationId xmlns:a16="http://schemas.microsoft.com/office/drawing/2014/main" id="{64A718E4-D326-4A95-8B12-24BDB37681E9}"/>
            </a:ext>
          </a:extLst>
        </xdr:cNvPr>
        <xdr:cNvCxnSpPr>
          <a:cxnSpLocks/>
        </xdr:cNvCxnSpPr>
      </xdr:nvCxnSpPr>
      <xdr:spPr>
        <a:xfrm flipH="1">
          <a:off x="19859625" y="5390808"/>
          <a:ext cx="1987322" cy="32419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1447572</xdr:colOff>
      <xdr:row>23</xdr:row>
      <xdr:rowOff>152058</xdr:rowOff>
    </xdr:from>
    <xdr:to>
      <xdr:col>18</xdr:col>
      <xdr:colOff>635000</xdr:colOff>
      <xdr:row>25</xdr:row>
      <xdr:rowOff>79375</xdr:rowOff>
    </xdr:to>
    <xdr:cxnSp macro="">
      <xdr:nvCxnSpPr>
        <xdr:cNvPr id="10" name="Straight Arrow Connector 5">
          <a:extLst>
            <a:ext uri="{FF2B5EF4-FFF2-40B4-BE49-F238E27FC236}">
              <a16:creationId xmlns:a16="http://schemas.microsoft.com/office/drawing/2014/main" id="{C7CB0161-BF1A-4A7F-847E-25E254A3EA48}"/>
            </a:ext>
          </a:extLst>
        </xdr:cNvPr>
        <xdr:cNvCxnSpPr>
          <a:cxnSpLocks/>
        </xdr:cNvCxnSpPr>
      </xdr:nvCxnSpPr>
      <xdr:spPr>
        <a:xfrm>
          <a:off x="21846947" y="5390808"/>
          <a:ext cx="1775053" cy="2765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91168</xdr:colOff>
      <xdr:row>25</xdr:row>
      <xdr:rowOff>12702</xdr:rowOff>
    </xdr:from>
    <xdr:to>
      <xdr:col>14</xdr:col>
      <xdr:colOff>881289</xdr:colOff>
      <xdr:row>29</xdr:row>
      <xdr:rowOff>141626</xdr:rowOff>
    </xdr:to>
    <xdr:sp macro="" textlink="">
      <xdr:nvSpPr>
        <xdr:cNvPr id="13" name="TextBox 8">
          <a:extLst>
            <a:ext uri="{FF2B5EF4-FFF2-40B4-BE49-F238E27FC236}">
              <a16:creationId xmlns:a16="http://schemas.microsoft.com/office/drawing/2014/main" id="{613F7EFC-DF6D-48D1-8B7E-3D15C1B2EF84}"/>
            </a:ext>
          </a:extLst>
        </xdr:cNvPr>
        <xdr:cNvSpPr txBox="1"/>
      </xdr:nvSpPr>
      <xdr:spPr>
        <a:xfrm>
          <a:off x="15982043" y="5600702"/>
          <a:ext cx="2615746" cy="6527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13</xdr:col>
      <xdr:colOff>28120</xdr:colOff>
      <xdr:row>7</xdr:row>
      <xdr:rowOff>139701</xdr:rowOff>
    </xdr:from>
    <xdr:to>
      <xdr:col>14</xdr:col>
      <xdr:colOff>902153</xdr:colOff>
      <xdr:row>11</xdr:row>
      <xdr:rowOff>57150</xdr:rowOff>
    </xdr:to>
    <xdr:sp macro="" textlink="">
      <xdr:nvSpPr>
        <xdr:cNvPr id="24" name="TextBox 10">
          <a:extLst>
            <a:ext uri="{FF2B5EF4-FFF2-40B4-BE49-F238E27FC236}">
              <a16:creationId xmlns:a16="http://schemas.microsoft.com/office/drawing/2014/main" id="{549CFCF9-9CC0-41F6-93DC-63E3D36A346A}"/>
            </a:ext>
          </a:extLst>
        </xdr:cNvPr>
        <xdr:cNvSpPr txBox="1"/>
      </xdr:nvSpPr>
      <xdr:spPr>
        <a:xfrm>
          <a:off x="16649245" y="2854326"/>
          <a:ext cx="2188483" cy="6413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870858</xdr:colOff>
      <xdr:row>20</xdr:row>
      <xdr:rowOff>13607</xdr:rowOff>
    </xdr:from>
    <xdr:to>
      <xdr:col>18</xdr:col>
      <xdr:colOff>954785</xdr:colOff>
      <xdr:row>23</xdr:row>
      <xdr:rowOff>117132</xdr:rowOff>
    </xdr:to>
    <xdr:sp macro="" textlink="">
      <xdr:nvSpPr>
        <xdr:cNvPr id="11" name="TextBox 27">
          <a:extLst>
            <a:ext uri="{FF2B5EF4-FFF2-40B4-BE49-F238E27FC236}">
              <a16:creationId xmlns:a16="http://schemas.microsoft.com/office/drawing/2014/main" id="{81FB6A88-C431-44E4-BE88-0CE508D5A1B7}"/>
            </a:ext>
          </a:extLst>
        </xdr:cNvPr>
        <xdr:cNvSpPr txBox="1"/>
      </xdr:nvSpPr>
      <xdr:spPr>
        <a:xfrm>
          <a:off x="20043322" y="4857750"/>
          <a:ext cx="4125249"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4" name="TextBox 17">
          <a:extLst>
            <a:ext uri="{FF2B5EF4-FFF2-40B4-BE49-F238E27FC236}">
              <a16:creationId xmlns:a16="http://schemas.microsoft.com/office/drawing/2014/main" id="{09C3B9A6-81CC-40F4-9BEB-2DAD536B3B5C}"/>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721179</xdr:colOff>
      <xdr:row>20</xdr:row>
      <xdr:rowOff>54428</xdr:rowOff>
    </xdr:from>
    <xdr:to>
      <xdr:col>13</xdr:col>
      <xdr:colOff>1065796</xdr:colOff>
      <xdr:row>23</xdr:row>
      <xdr:rowOff>149679</xdr:rowOff>
    </xdr:to>
    <xdr:cxnSp macro="">
      <xdr:nvCxnSpPr>
        <xdr:cNvPr id="25" name="Straight Arrow Connector 5">
          <a:extLst>
            <a:ext uri="{FF2B5EF4-FFF2-40B4-BE49-F238E27FC236}">
              <a16:creationId xmlns:a16="http://schemas.microsoft.com/office/drawing/2014/main" id="{C5DC4B48-05F0-48FB-9500-4A4992499AF6}"/>
            </a:ext>
          </a:extLst>
        </xdr:cNvPr>
        <xdr:cNvCxnSpPr>
          <a:stCxn id="19" idx="0"/>
        </xdr:cNvCxnSpPr>
      </xdr:nvCxnSpPr>
      <xdr:spPr>
        <a:xfrm flipH="1" flipV="1">
          <a:off x="16192500" y="5075464"/>
          <a:ext cx="344617" cy="62592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64861</xdr:colOff>
      <xdr:row>7</xdr:row>
      <xdr:rowOff>84817</xdr:rowOff>
    </xdr:from>
    <xdr:to>
      <xdr:col>13</xdr:col>
      <xdr:colOff>27215</xdr:colOff>
      <xdr:row>18</xdr:row>
      <xdr:rowOff>149679</xdr:rowOff>
    </xdr:to>
    <xdr:cxnSp macro="">
      <xdr:nvCxnSpPr>
        <xdr:cNvPr id="12" name="Straight Arrow Connector 2">
          <a:extLst>
            <a:ext uri="{FF2B5EF4-FFF2-40B4-BE49-F238E27FC236}">
              <a16:creationId xmlns:a16="http://schemas.microsoft.com/office/drawing/2014/main" id="{35D78BE4-1132-431F-A8F4-858BA1B915C8}"/>
            </a:ext>
          </a:extLst>
        </xdr:cNvPr>
        <xdr:cNvCxnSpPr/>
      </xdr:nvCxnSpPr>
      <xdr:spPr>
        <a:xfrm>
          <a:off x="15032718" y="2806246"/>
          <a:ext cx="465818" cy="201068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13607</xdr:colOff>
      <xdr:row>19</xdr:row>
      <xdr:rowOff>81643</xdr:rowOff>
    </xdr:from>
    <xdr:to>
      <xdr:col>12</xdr:col>
      <xdr:colOff>486682</xdr:colOff>
      <xdr:row>19</xdr:row>
      <xdr:rowOff>81643</xdr:rowOff>
    </xdr:to>
    <xdr:cxnSp macro="">
      <xdr:nvCxnSpPr>
        <xdr:cNvPr id="23" name="Straight Arrow Connector 3">
          <a:extLst>
            <a:ext uri="{FF2B5EF4-FFF2-40B4-BE49-F238E27FC236}">
              <a16:creationId xmlns:a16="http://schemas.microsoft.com/office/drawing/2014/main" id="{D58A0570-DB23-4568-A1E3-EED8A0852DC7}"/>
            </a:ext>
          </a:extLst>
        </xdr:cNvPr>
        <xdr:cNvCxnSpPr/>
      </xdr:nvCxnSpPr>
      <xdr:spPr>
        <a:xfrm>
          <a:off x="14079231" y="5209455"/>
          <a:ext cx="47307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931004</xdr:colOff>
      <xdr:row>5</xdr:row>
      <xdr:rowOff>54430</xdr:rowOff>
    </xdr:from>
    <xdr:to>
      <xdr:col>13</xdr:col>
      <xdr:colOff>1118689</xdr:colOff>
      <xdr:row>7</xdr:row>
      <xdr:rowOff>58238</xdr:rowOff>
    </xdr:to>
    <xdr:cxnSp macro="">
      <xdr:nvCxnSpPr>
        <xdr:cNvPr id="8" name="Straight Arrow Connector 20">
          <a:extLst>
            <a:ext uri="{FF2B5EF4-FFF2-40B4-BE49-F238E27FC236}">
              <a16:creationId xmlns:a16="http://schemas.microsoft.com/office/drawing/2014/main" id="{6AA56ACA-D1CF-4EA5-BB72-87A00B1F5B71}"/>
            </a:ext>
          </a:extLst>
        </xdr:cNvPr>
        <xdr:cNvCxnSpPr>
          <a:cxnSpLocks/>
          <a:stCxn id="16" idx="0"/>
        </xdr:cNvCxnSpPr>
      </xdr:nvCxnSpPr>
      <xdr:spPr>
        <a:xfrm flipH="1" flipV="1">
          <a:off x="13999304" y="2302330"/>
          <a:ext cx="1683110" cy="3752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13608</xdr:colOff>
      <xdr:row>7</xdr:row>
      <xdr:rowOff>64860</xdr:rowOff>
    </xdr:from>
    <xdr:to>
      <xdr:col>11</xdr:col>
      <xdr:colOff>54428</xdr:colOff>
      <xdr:row>7</xdr:row>
      <xdr:rowOff>64860</xdr:rowOff>
    </xdr:to>
    <xdr:cxnSp macro="">
      <xdr:nvCxnSpPr>
        <xdr:cNvPr id="33" name="Straight Arrow Connector 5">
          <a:extLst>
            <a:ext uri="{FF2B5EF4-FFF2-40B4-BE49-F238E27FC236}">
              <a16:creationId xmlns:a16="http://schemas.microsoft.com/office/drawing/2014/main" id="{6D2A0756-CABF-4D82-B0A1-B2F90D5135E6}"/>
            </a:ext>
          </a:extLst>
        </xdr:cNvPr>
        <xdr:cNvCxnSpPr/>
      </xdr:nvCxnSpPr>
      <xdr:spPr>
        <a:xfrm flipV="1">
          <a:off x="12142855" y="2673589"/>
          <a:ext cx="991079"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574676</xdr:colOff>
      <xdr:row>24</xdr:row>
      <xdr:rowOff>125639</xdr:rowOff>
    </xdr:from>
    <xdr:to>
      <xdr:col>16</xdr:col>
      <xdr:colOff>95250</xdr:colOff>
      <xdr:row>25</xdr:row>
      <xdr:rowOff>160111</xdr:rowOff>
    </xdr:to>
    <xdr:cxnSp macro="">
      <xdr:nvCxnSpPr>
        <xdr:cNvPr id="29" name="Straight Arrow Connector 5">
          <a:extLst>
            <a:ext uri="{FF2B5EF4-FFF2-40B4-BE49-F238E27FC236}">
              <a16:creationId xmlns:a16="http://schemas.microsoft.com/office/drawing/2014/main" id="{28D503BC-6B92-4763-8CF4-DAEA28A4E7A8}"/>
            </a:ext>
          </a:extLst>
        </xdr:cNvPr>
        <xdr:cNvCxnSpPr/>
      </xdr:nvCxnSpPr>
      <xdr:spPr>
        <a:xfrm flipH="1">
          <a:off x="18590533" y="5758996"/>
          <a:ext cx="976538" cy="21136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1331006</xdr:colOff>
      <xdr:row>24</xdr:row>
      <xdr:rowOff>125296</xdr:rowOff>
    </xdr:from>
    <xdr:to>
      <xdr:col>18</xdr:col>
      <xdr:colOff>272142</xdr:colOff>
      <xdr:row>25</xdr:row>
      <xdr:rowOff>163286</xdr:rowOff>
    </xdr:to>
    <xdr:cxnSp macro="">
      <xdr:nvCxnSpPr>
        <xdr:cNvPr id="2" name="Straight Arrow Connector 5">
          <a:extLst>
            <a:ext uri="{FF2B5EF4-FFF2-40B4-BE49-F238E27FC236}">
              <a16:creationId xmlns:a16="http://schemas.microsoft.com/office/drawing/2014/main" id="{FD3C2DD4-5B6B-45F6-8D37-FD11328601C7}"/>
            </a:ext>
          </a:extLst>
        </xdr:cNvPr>
        <xdr:cNvCxnSpPr>
          <a:cxnSpLocks/>
        </xdr:cNvCxnSpPr>
      </xdr:nvCxnSpPr>
      <xdr:spPr>
        <a:xfrm>
          <a:off x="20802827" y="5853903"/>
          <a:ext cx="1526494" cy="2148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400957</xdr:colOff>
      <xdr:row>23</xdr:row>
      <xdr:rowOff>149679</xdr:rowOff>
    </xdr:from>
    <xdr:to>
      <xdr:col>14</xdr:col>
      <xdr:colOff>914206</xdr:colOff>
      <xdr:row>27</xdr:row>
      <xdr:rowOff>88556</xdr:rowOff>
    </xdr:to>
    <xdr:sp macro="" textlink="">
      <xdr:nvSpPr>
        <xdr:cNvPr id="19" name="TextBox 9">
          <a:extLst>
            <a:ext uri="{FF2B5EF4-FFF2-40B4-BE49-F238E27FC236}">
              <a16:creationId xmlns:a16="http://schemas.microsoft.com/office/drawing/2014/main" id="{6A4630ED-5518-4E11-93FF-48AFA0B65C54}"/>
            </a:ext>
          </a:extLst>
        </xdr:cNvPr>
        <xdr:cNvSpPr txBox="1"/>
      </xdr:nvSpPr>
      <xdr:spPr>
        <a:xfrm>
          <a:off x="15368814" y="5606143"/>
          <a:ext cx="2336606" cy="6464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465817</xdr:colOff>
      <xdr:row>17</xdr:row>
      <xdr:rowOff>112033</xdr:rowOff>
    </xdr:from>
    <xdr:to>
      <xdr:col>18</xdr:col>
      <xdr:colOff>377824</xdr:colOff>
      <xdr:row>20</xdr:row>
      <xdr:rowOff>71210</xdr:rowOff>
    </xdr:to>
    <xdr:sp macro="" textlink="">
      <xdr:nvSpPr>
        <xdr:cNvPr id="22" name="TextBox 10">
          <a:extLst>
            <a:ext uri="{FF2B5EF4-FFF2-40B4-BE49-F238E27FC236}">
              <a16:creationId xmlns:a16="http://schemas.microsoft.com/office/drawing/2014/main" id="{81554318-4A6D-4CF6-A861-119ED87EFD4A}"/>
            </a:ext>
          </a:extLst>
        </xdr:cNvPr>
        <xdr:cNvSpPr txBox="1"/>
      </xdr:nvSpPr>
      <xdr:spPr>
        <a:xfrm>
          <a:off x="18481674" y="4507140"/>
          <a:ext cx="395332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13</xdr:col>
      <xdr:colOff>40821</xdr:colOff>
      <xdr:row>7</xdr:row>
      <xdr:rowOff>58238</xdr:rowOff>
    </xdr:from>
    <xdr:to>
      <xdr:col>14</xdr:col>
      <xdr:colOff>901156</xdr:colOff>
      <xdr:row>10</xdr:row>
      <xdr:rowOff>123824</xdr:rowOff>
    </xdr:to>
    <xdr:sp macro="" textlink="">
      <xdr:nvSpPr>
        <xdr:cNvPr id="16" name="TextBox 13">
          <a:extLst>
            <a:ext uri="{FF2B5EF4-FFF2-40B4-BE49-F238E27FC236}">
              <a16:creationId xmlns:a16="http://schemas.microsoft.com/office/drawing/2014/main" id="{B59EF2BD-EC76-4FE7-B5A4-2B64F305A676}"/>
            </a:ext>
          </a:extLst>
        </xdr:cNvPr>
        <xdr:cNvSpPr txBox="1"/>
      </xdr:nvSpPr>
      <xdr:spPr>
        <a:xfrm>
          <a:off x="14604546" y="2677613"/>
          <a:ext cx="2155735" cy="60851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27214</xdr:colOff>
      <xdr:row>19</xdr:row>
      <xdr:rowOff>1588</xdr:rowOff>
    </xdr:from>
    <xdr:to>
      <xdr:col>15</xdr:col>
      <xdr:colOff>468992</xdr:colOff>
      <xdr:row>19</xdr:row>
      <xdr:rowOff>81643</xdr:rowOff>
    </xdr:to>
    <xdr:cxnSp macro="">
      <xdr:nvCxnSpPr>
        <xdr:cNvPr id="26" name="Straight Arrow Connector 5">
          <a:extLst>
            <a:ext uri="{FF2B5EF4-FFF2-40B4-BE49-F238E27FC236}">
              <a16:creationId xmlns:a16="http://schemas.microsoft.com/office/drawing/2014/main" id="{5A7284DD-54E2-49DB-B4E7-093171F4D0B3}"/>
            </a:ext>
          </a:extLst>
        </xdr:cNvPr>
        <xdr:cNvCxnSpPr>
          <a:stCxn id="22" idx="1"/>
        </xdr:cNvCxnSpPr>
      </xdr:nvCxnSpPr>
      <xdr:spPr>
        <a:xfrm flipH="1">
          <a:off x="18043071" y="4845731"/>
          <a:ext cx="441778" cy="800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557893</xdr:colOff>
      <xdr:row>21</xdr:row>
      <xdr:rowOff>0</xdr:rowOff>
    </xdr:from>
    <xdr:to>
      <xdr:col>18</xdr:col>
      <xdr:colOff>641820</xdr:colOff>
      <xdr:row>24</xdr:row>
      <xdr:rowOff>103525</xdr:rowOff>
    </xdr:to>
    <xdr:sp macro="" textlink="">
      <xdr:nvSpPr>
        <xdr:cNvPr id="4" name="TextBox 27">
          <a:extLst>
            <a:ext uri="{FF2B5EF4-FFF2-40B4-BE49-F238E27FC236}">
              <a16:creationId xmlns:a16="http://schemas.microsoft.com/office/drawing/2014/main" id="{A6F5C4C7-6F88-4A9C-B1F2-719DC780A9C9}"/>
            </a:ext>
          </a:extLst>
        </xdr:cNvPr>
        <xdr:cNvSpPr txBox="1"/>
      </xdr:nvSpPr>
      <xdr:spPr>
        <a:xfrm>
          <a:off x="18573750" y="5388429"/>
          <a:ext cx="4125249"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222A697B-8F2C-432C-8DB2-A881966F6C42}"/>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734786</xdr:colOff>
      <xdr:row>20</xdr:row>
      <xdr:rowOff>40821</xdr:rowOff>
    </xdr:from>
    <xdr:to>
      <xdr:col>13</xdr:col>
      <xdr:colOff>999350</xdr:colOff>
      <xdr:row>24</xdr:row>
      <xdr:rowOff>27216</xdr:rowOff>
    </xdr:to>
    <xdr:cxnSp macro="">
      <xdr:nvCxnSpPr>
        <xdr:cNvPr id="23" name="Straight Arrow Connector 5">
          <a:extLst>
            <a:ext uri="{FF2B5EF4-FFF2-40B4-BE49-F238E27FC236}">
              <a16:creationId xmlns:a16="http://schemas.microsoft.com/office/drawing/2014/main" id="{662AC6CF-E0B2-4BD2-979D-E55B89FA4E23}"/>
            </a:ext>
          </a:extLst>
        </xdr:cNvPr>
        <xdr:cNvCxnSpPr/>
      </xdr:nvCxnSpPr>
      <xdr:spPr>
        <a:xfrm flipH="1" flipV="1">
          <a:off x="16396607" y="4966607"/>
          <a:ext cx="264564" cy="69396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xdr:row>
      <xdr:rowOff>136071</xdr:rowOff>
    </xdr:from>
    <xdr:to>
      <xdr:col>13</xdr:col>
      <xdr:colOff>95250</xdr:colOff>
      <xdr:row>19</xdr:row>
      <xdr:rowOff>13607</xdr:rowOff>
    </xdr:to>
    <xdr:cxnSp macro="">
      <xdr:nvCxnSpPr>
        <xdr:cNvPr id="10" name="Straight Arrow Connector 2">
          <a:extLst>
            <a:ext uri="{FF2B5EF4-FFF2-40B4-BE49-F238E27FC236}">
              <a16:creationId xmlns:a16="http://schemas.microsoft.com/office/drawing/2014/main" id="{C3391869-50C3-4B86-9D7C-53ED7543A14E}"/>
            </a:ext>
          </a:extLst>
        </xdr:cNvPr>
        <xdr:cNvCxnSpPr/>
      </xdr:nvCxnSpPr>
      <xdr:spPr>
        <a:xfrm>
          <a:off x="15158357" y="2762250"/>
          <a:ext cx="598714" cy="200025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19</xdr:row>
      <xdr:rowOff>40821</xdr:rowOff>
    </xdr:from>
    <xdr:to>
      <xdr:col>13</xdr:col>
      <xdr:colOff>30390</xdr:colOff>
      <xdr:row>19</xdr:row>
      <xdr:rowOff>40821</xdr:rowOff>
    </xdr:to>
    <xdr:cxnSp macro="">
      <xdr:nvCxnSpPr>
        <xdr:cNvPr id="19" name="Straight Arrow Connector 3">
          <a:extLst>
            <a:ext uri="{FF2B5EF4-FFF2-40B4-BE49-F238E27FC236}">
              <a16:creationId xmlns:a16="http://schemas.microsoft.com/office/drawing/2014/main" id="{825AD9B1-AF4D-4E54-BC01-9ADD54EF4DC1}"/>
            </a:ext>
          </a:extLst>
        </xdr:cNvPr>
        <xdr:cNvCxnSpPr/>
      </xdr:nvCxnSpPr>
      <xdr:spPr>
        <a:xfrm flipV="1">
          <a:off x="14065624" y="5168633"/>
          <a:ext cx="541378"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856891</xdr:colOff>
      <xdr:row>5</xdr:row>
      <xdr:rowOff>11069</xdr:rowOff>
    </xdr:from>
    <xdr:to>
      <xdr:col>13</xdr:col>
      <xdr:colOff>1018948</xdr:colOff>
      <xdr:row>7</xdr:row>
      <xdr:rowOff>28483</xdr:rowOff>
    </xdr:to>
    <xdr:cxnSp macro="">
      <xdr:nvCxnSpPr>
        <xdr:cNvPr id="3" name="Straight Arrow Connector 20">
          <a:extLst>
            <a:ext uri="{FF2B5EF4-FFF2-40B4-BE49-F238E27FC236}">
              <a16:creationId xmlns:a16="http://schemas.microsoft.com/office/drawing/2014/main" id="{AF211AED-60BF-41F6-B31F-5489DD48AB7D}"/>
            </a:ext>
          </a:extLst>
        </xdr:cNvPr>
        <xdr:cNvCxnSpPr>
          <a:cxnSpLocks/>
          <a:stCxn id="18" idx="0"/>
        </xdr:cNvCxnSpPr>
      </xdr:nvCxnSpPr>
      <xdr:spPr>
        <a:xfrm flipH="1" flipV="1">
          <a:off x="13925191" y="2258969"/>
          <a:ext cx="1657482" cy="38888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18483</xdr:colOff>
      <xdr:row>7</xdr:row>
      <xdr:rowOff>52274</xdr:rowOff>
    </xdr:from>
    <xdr:to>
      <xdr:col>11</xdr:col>
      <xdr:colOff>61458</xdr:colOff>
      <xdr:row>7</xdr:row>
      <xdr:rowOff>52274</xdr:rowOff>
    </xdr:to>
    <xdr:cxnSp macro="">
      <xdr:nvCxnSpPr>
        <xdr:cNvPr id="11" name="Straight Arrow Connector 5">
          <a:extLst>
            <a:ext uri="{FF2B5EF4-FFF2-40B4-BE49-F238E27FC236}">
              <a16:creationId xmlns:a16="http://schemas.microsoft.com/office/drawing/2014/main" id="{69852899-6F96-497A-B310-7155C78AD555}"/>
            </a:ext>
          </a:extLst>
        </xdr:cNvPr>
        <xdr:cNvCxnSpPr/>
      </xdr:nvCxnSpPr>
      <xdr:spPr>
        <a:xfrm flipV="1">
          <a:off x="12147730" y="2661003"/>
          <a:ext cx="993234"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1064535</xdr:colOff>
      <xdr:row>24</xdr:row>
      <xdr:rowOff>122464</xdr:rowOff>
    </xdr:from>
    <xdr:to>
      <xdr:col>16</xdr:col>
      <xdr:colOff>476250</xdr:colOff>
      <xdr:row>25</xdr:row>
      <xdr:rowOff>143329</xdr:rowOff>
    </xdr:to>
    <xdr:cxnSp macro="">
      <xdr:nvCxnSpPr>
        <xdr:cNvPr id="6" name="Straight Arrow Connector 5">
          <a:extLst>
            <a:ext uri="{FF2B5EF4-FFF2-40B4-BE49-F238E27FC236}">
              <a16:creationId xmlns:a16="http://schemas.microsoft.com/office/drawing/2014/main" id="{C03A98DB-33FB-4336-A85B-458EDB8A661A}"/>
            </a:ext>
          </a:extLst>
        </xdr:cNvPr>
        <xdr:cNvCxnSpPr/>
      </xdr:nvCxnSpPr>
      <xdr:spPr>
        <a:xfrm flipH="1">
          <a:off x="19270892" y="5946321"/>
          <a:ext cx="867679" cy="19775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280089</xdr:colOff>
      <xdr:row>24</xdr:row>
      <xdr:rowOff>106700</xdr:rowOff>
    </xdr:from>
    <xdr:to>
      <xdr:col>18</xdr:col>
      <xdr:colOff>506639</xdr:colOff>
      <xdr:row>25</xdr:row>
      <xdr:rowOff>149679</xdr:rowOff>
    </xdr:to>
    <xdr:cxnSp macro="">
      <xdr:nvCxnSpPr>
        <xdr:cNvPr id="9" name="Straight Arrow Connector 5">
          <a:extLst>
            <a:ext uri="{FF2B5EF4-FFF2-40B4-BE49-F238E27FC236}">
              <a16:creationId xmlns:a16="http://schemas.microsoft.com/office/drawing/2014/main" id="{F3894E8E-5D57-4487-973A-17136AC0BB89}"/>
            </a:ext>
          </a:extLst>
        </xdr:cNvPr>
        <xdr:cNvCxnSpPr>
          <a:cxnSpLocks/>
          <a:stCxn id="5" idx="2"/>
        </xdr:cNvCxnSpPr>
      </xdr:nvCxnSpPr>
      <xdr:spPr>
        <a:xfrm>
          <a:off x="21398375" y="5930557"/>
          <a:ext cx="1355943" cy="2198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292101</xdr:colOff>
      <xdr:row>23</xdr:row>
      <xdr:rowOff>163287</xdr:rowOff>
    </xdr:from>
    <xdr:to>
      <xdr:col>14</xdr:col>
      <xdr:colOff>808525</xdr:colOff>
      <xdr:row>27</xdr:row>
      <xdr:rowOff>102164</xdr:rowOff>
    </xdr:to>
    <xdr:sp macro="" textlink="">
      <xdr:nvSpPr>
        <xdr:cNvPr id="21" name="TextBox 9">
          <a:extLst>
            <a:ext uri="{FF2B5EF4-FFF2-40B4-BE49-F238E27FC236}">
              <a16:creationId xmlns:a16="http://schemas.microsoft.com/office/drawing/2014/main" id="{3AC897CF-411B-4FA8-86B2-811582C37236}"/>
            </a:ext>
          </a:extLst>
        </xdr:cNvPr>
        <xdr:cNvSpPr txBox="1"/>
      </xdr:nvSpPr>
      <xdr:spPr>
        <a:xfrm>
          <a:off x="15450458" y="5619751"/>
          <a:ext cx="2339781" cy="6464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452209</xdr:colOff>
      <xdr:row>17</xdr:row>
      <xdr:rowOff>166463</xdr:rowOff>
    </xdr:from>
    <xdr:to>
      <xdr:col>18</xdr:col>
      <xdr:colOff>364216</xdr:colOff>
      <xdr:row>20</xdr:row>
      <xdr:rowOff>125640</xdr:rowOff>
    </xdr:to>
    <xdr:sp macro="" textlink="">
      <xdr:nvSpPr>
        <xdr:cNvPr id="28" name="TextBox 10">
          <a:extLst>
            <a:ext uri="{FF2B5EF4-FFF2-40B4-BE49-F238E27FC236}">
              <a16:creationId xmlns:a16="http://schemas.microsoft.com/office/drawing/2014/main" id="{9997BBF7-B0D0-4DF8-B043-AA33A99EBEAC}"/>
            </a:ext>
          </a:extLst>
        </xdr:cNvPr>
        <xdr:cNvSpPr txBox="1"/>
      </xdr:nvSpPr>
      <xdr:spPr>
        <a:xfrm>
          <a:off x="18658566" y="4561570"/>
          <a:ext cx="395332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12</xdr:col>
      <xdr:colOff>447130</xdr:colOff>
      <xdr:row>7</xdr:row>
      <xdr:rowOff>28483</xdr:rowOff>
    </xdr:from>
    <xdr:to>
      <xdr:col>14</xdr:col>
      <xdr:colOff>809716</xdr:colOff>
      <xdr:row>10</xdr:row>
      <xdr:rowOff>114299</xdr:rowOff>
    </xdr:to>
    <xdr:sp macro="" textlink="">
      <xdr:nvSpPr>
        <xdr:cNvPr id="18" name="TextBox 13">
          <a:extLst>
            <a:ext uri="{FF2B5EF4-FFF2-40B4-BE49-F238E27FC236}">
              <a16:creationId xmlns:a16="http://schemas.microsoft.com/office/drawing/2014/main" id="{E1186023-3BB0-4F46-8866-9931E98713DF}"/>
            </a:ext>
          </a:extLst>
        </xdr:cNvPr>
        <xdr:cNvSpPr txBox="1"/>
      </xdr:nvSpPr>
      <xdr:spPr>
        <a:xfrm>
          <a:off x="14496505" y="2647858"/>
          <a:ext cx="2172336" cy="6287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0</xdr:colOff>
      <xdr:row>19</xdr:row>
      <xdr:rowOff>54430</xdr:rowOff>
    </xdr:from>
    <xdr:to>
      <xdr:col>15</xdr:col>
      <xdr:colOff>449034</xdr:colOff>
      <xdr:row>19</xdr:row>
      <xdr:rowOff>95250</xdr:rowOff>
    </xdr:to>
    <xdr:cxnSp macro="">
      <xdr:nvCxnSpPr>
        <xdr:cNvPr id="24" name="Straight Arrow Connector 5">
          <a:extLst>
            <a:ext uri="{FF2B5EF4-FFF2-40B4-BE49-F238E27FC236}">
              <a16:creationId xmlns:a16="http://schemas.microsoft.com/office/drawing/2014/main" id="{48C1F1C9-0AE3-4796-B7F1-B170D127D71D}"/>
            </a:ext>
          </a:extLst>
        </xdr:cNvPr>
        <xdr:cNvCxnSpPr>
          <a:stCxn id="28" idx="1"/>
        </xdr:cNvCxnSpPr>
      </xdr:nvCxnSpPr>
      <xdr:spPr>
        <a:xfrm flipH="1">
          <a:off x="18206357" y="4803323"/>
          <a:ext cx="449034" cy="4082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1129393</xdr:colOff>
      <xdr:row>21</xdr:row>
      <xdr:rowOff>0</xdr:rowOff>
    </xdr:from>
    <xdr:to>
      <xdr:col>18</xdr:col>
      <xdr:colOff>1213320</xdr:colOff>
      <xdr:row>24</xdr:row>
      <xdr:rowOff>103525</xdr:rowOff>
    </xdr:to>
    <xdr:sp macro="" textlink="">
      <xdr:nvSpPr>
        <xdr:cNvPr id="5" name="TextBox 27">
          <a:extLst>
            <a:ext uri="{FF2B5EF4-FFF2-40B4-BE49-F238E27FC236}">
              <a16:creationId xmlns:a16="http://schemas.microsoft.com/office/drawing/2014/main" id="{8AD61A53-10F2-4D11-AF6B-CBE8663E6641}"/>
            </a:ext>
          </a:extLst>
        </xdr:cNvPr>
        <xdr:cNvSpPr txBox="1"/>
      </xdr:nvSpPr>
      <xdr:spPr>
        <a:xfrm>
          <a:off x="19335750" y="5293179"/>
          <a:ext cx="4125249"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C07338D1-77DF-4251-8457-BB42AEA5B5CB}"/>
            </a:ext>
          </a:extLst>
        </xdr:cNvPr>
        <xdr:cNvSpPr txBox="1"/>
      </xdr:nvSpPr>
      <xdr:spPr>
        <a:xfrm>
          <a:off x="286871" y="1066800"/>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762000</xdr:colOff>
      <xdr:row>20</xdr:row>
      <xdr:rowOff>0</xdr:rowOff>
    </xdr:from>
    <xdr:to>
      <xdr:col>13</xdr:col>
      <xdr:colOff>804312</xdr:colOff>
      <xdr:row>23</xdr:row>
      <xdr:rowOff>143783</xdr:rowOff>
    </xdr:to>
    <xdr:cxnSp macro="">
      <xdr:nvCxnSpPr>
        <xdr:cNvPr id="17" name="Straight Arrow Connector 5">
          <a:extLst>
            <a:ext uri="{FF2B5EF4-FFF2-40B4-BE49-F238E27FC236}">
              <a16:creationId xmlns:a16="http://schemas.microsoft.com/office/drawing/2014/main" id="{3F407521-46D2-4651-A02C-19A1B6C9EE7A}"/>
            </a:ext>
          </a:extLst>
        </xdr:cNvPr>
        <xdr:cNvCxnSpPr>
          <a:stCxn id="20" idx="0"/>
        </xdr:cNvCxnSpPr>
      </xdr:nvCxnSpPr>
      <xdr:spPr>
        <a:xfrm flipH="1" flipV="1">
          <a:off x="16423821" y="4980214"/>
          <a:ext cx="42312" cy="6744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10432</xdr:colOff>
      <xdr:row>7</xdr:row>
      <xdr:rowOff>84818</xdr:rowOff>
    </xdr:from>
    <xdr:to>
      <xdr:col>13</xdr:col>
      <xdr:colOff>122465</xdr:colOff>
      <xdr:row>19</xdr:row>
      <xdr:rowOff>13608</xdr:rowOff>
    </xdr:to>
    <xdr:cxnSp macro="">
      <xdr:nvCxnSpPr>
        <xdr:cNvPr id="9" name="Straight Arrow Connector 2">
          <a:extLst>
            <a:ext uri="{FF2B5EF4-FFF2-40B4-BE49-F238E27FC236}">
              <a16:creationId xmlns:a16="http://schemas.microsoft.com/office/drawing/2014/main" id="{33A1F605-C7E7-4CD1-840C-E7A5E478C42F}"/>
            </a:ext>
          </a:extLst>
        </xdr:cNvPr>
        <xdr:cNvCxnSpPr/>
      </xdr:nvCxnSpPr>
      <xdr:spPr>
        <a:xfrm>
          <a:off x="15168789" y="2765425"/>
          <a:ext cx="615497" cy="205150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27214</xdr:colOff>
      <xdr:row>19</xdr:row>
      <xdr:rowOff>40822</xdr:rowOff>
    </xdr:from>
    <xdr:to>
      <xdr:col>12</xdr:col>
      <xdr:colOff>486682</xdr:colOff>
      <xdr:row>19</xdr:row>
      <xdr:rowOff>40822</xdr:rowOff>
    </xdr:to>
    <xdr:cxnSp macro="">
      <xdr:nvCxnSpPr>
        <xdr:cNvPr id="14" name="Straight Arrow Connector 3">
          <a:extLst>
            <a:ext uri="{FF2B5EF4-FFF2-40B4-BE49-F238E27FC236}">
              <a16:creationId xmlns:a16="http://schemas.microsoft.com/office/drawing/2014/main" id="{69F7416E-7F47-4BC9-A3A3-8BC60AB5A36E}"/>
            </a:ext>
          </a:extLst>
        </xdr:cNvPr>
        <xdr:cNvCxnSpPr/>
      </xdr:nvCxnSpPr>
      <xdr:spPr>
        <a:xfrm flipV="1">
          <a:off x="14092838" y="5168634"/>
          <a:ext cx="459468"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520068</xdr:colOff>
      <xdr:row>5</xdr:row>
      <xdr:rowOff>53343</xdr:rowOff>
    </xdr:from>
    <xdr:to>
      <xdr:col>13</xdr:col>
      <xdr:colOff>1143908</xdr:colOff>
      <xdr:row>7</xdr:row>
      <xdr:rowOff>73933</xdr:rowOff>
    </xdr:to>
    <xdr:cxnSp macro="">
      <xdr:nvCxnSpPr>
        <xdr:cNvPr id="5" name="Straight Arrow Connector 20">
          <a:extLst>
            <a:ext uri="{FF2B5EF4-FFF2-40B4-BE49-F238E27FC236}">
              <a16:creationId xmlns:a16="http://schemas.microsoft.com/office/drawing/2014/main" id="{70EDFEF7-07E1-422F-95CB-23845AFE2B2C}"/>
            </a:ext>
          </a:extLst>
        </xdr:cNvPr>
        <xdr:cNvCxnSpPr>
          <a:cxnSpLocks/>
          <a:stCxn id="16" idx="0"/>
        </xdr:cNvCxnSpPr>
      </xdr:nvCxnSpPr>
      <xdr:spPr>
        <a:xfrm flipH="1" flipV="1">
          <a:off x="13588368" y="2301243"/>
          <a:ext cx="2119265" cy="3920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4083</xdr:colOff>
      <xdr:row>7</xdr:row>
      <xdr:rowOff>78468</xdr:rowOff>
    </xdr:from>
    <xdr:to>
      <xdr:col>11</xdr:col>
      <xdr:colOff>1879</xdr:colOff>
      <xdr:row>7</xdr:row>
      <xdr:rowOff>78468</xdr:rowOff>
    </xdr:to>
    <xdr:cxnSp macro="">
      <xdr:nvCxnSpPr>
        <xdr:cNvPr id="3" name="Straight Arrow Connector 5">
          <a:extLst>
            <a:ext uri="{FF2B5EF4-FFF2-40B4-BE49-F238E27FC236}">
              <a16:creationId xmlns:a16="http://schemas.microsoft.com/office/drawing/2014/main" id="{F50AA0A3-D454-46B5-8342-FA7E41E49FBD}"/>
            </a:ext>
          </a:extLst>
        </xdr:cNvPr>
        <xdr:cNvCxnSpPr/>
      </xdr:nvCxnSpPr>
      <xdr:spPr>
        <a:xfrm flipV="1">
          <a:off x="12133330" y="2687197"/>
          <a:ext cx="94805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1037319</xdr:colOff>
      <xdr:row>24</xdr:row>
      <xdr:rowOff>68035</xdr:rowOff>
    </xdr:from>
    <xdr:to>
      <xdr:col>16</xdr:col>
      <xdr:colOff>299358</xdr:colOff>
      <xdr:row>25</xdr:row>
      <xdr:rowOff>105682</xdr:rowOff>
    </xdr:to>
    <xdr:cxnSp macro="">
      <xdr:nvCxnSpPr>
        <xdr:cNvPr id="7" name="Straight Arrow Connector 5">
          <a:extLst>
            <a:ext uri="{FF2B5EF4-FFF2-40B4-BE49-F238E27FC236}">
              <a16:creationId xmlns:a16="http://schemas.microsoft.com/office/drawing/2014/main" id="{60A67070-FED0-4062-9EB0-79DE3615838D}"/>
            </a:ext>
          </a:extLst>
        </xdr:cNvPr>
        <xdr:cNvCxnSpPr/>
      </xdr:nvCxnSpPr>
      <xdr:spPr>
        <a:xfrm flipH="1">
          <a:off x="19243676" y="5946321"/>
          <a:ext cx="718003" cy="2145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184838</xdr:colOff>
      <xdr:row>24</xdr:row>
      <xdr:rowOff>69053</xdr:rowOff>
    </xdr:from>
    <xdr:to>
      <xdr:col>18</xdr:col>
      <xdr:colOff>541111</xdr:colOff>
      <xdr:row>25</xdr:row>
      <xdr:rowOff>149678</xdr:rowOff>
    </xdr:to>
    <xdr:cxnSp macro="">
      <xdr:nvCxnSpPr>
        <xdr:cNvPr id="8" name="Straight Arrow Connector 5">
          <a:extLst>
            <a:ext uri="{FF2B5EF4-FFF2-40B4-BE49-F238E27FC236}">
              <a16:creationId xmlns:a16="http://schemas.microsoft.com/office/drawing/2014/main" id="{108F948A-30B5-4517-8F06-FD7C91F8F981}"/>
            </a:ext>
          </a:extLst>
        </xdr:cNvPr>
        <xdr:cNvCxnSpPr>
          <a:cxnSpLocks/>
          <a:stCxn id="4" idx="2"/>
        </xdr:cNvCxnSpPr>
      </xdr:nvCxnSpPr>
      <xdr:spPr>
        <a:xfrm>
          <a:off x="21303124" y="5947339"/>
          <a:ext cx="1485666" cy="2575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134257</xdr:colOff>
      <xdr:row>23</xdr:row>
      <xdr:rowOff>140608</xdr:rowOff>
    </xdr:from>
    <xdr:to>
      <xdr:col>14</xdr:col>
      <xdr:colOff>654763</xdr:colOff>
      <xdr:row>27</xdr:row>
      <xdr:rowOff>56807</xdr:rowOff>
    </xdr:to>
    <xdr:sp macro="" textlink="">
      <xdr:nvSpPr>
        <xdr:cNvPr id="20" name="TextBox 9">
          <a:extLst>
            <a:ext uri="{FF2B5EF4-FFF2-40B4-BE49-F238E27FC236}">
              <a16:creationId xmlns:a16="http://schemas.microsoft.com/office/drawing/2014/main" id="{39E37BE9-DE55-4618-BDE3-3D40F50137A6}"/>
            </a:ext>
          </a:extLst>
        </xdr:cNvPr>
        <xdr:cNvSpPr txBox="1"/>
      </xdr:nvSpPr>
      <xdr:spPr>
        <a:xfrm>
          <a:off x="14574157" y="5712733"/>
          <a:ext cx="2339781" cy="6400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460827</xdr:colOff>
      <xdr:row>17</xdr:row>
      <xdr:rowOff>97066</xdr:rowOff>
    </xdr:from>
    <xdr:to>
      <xdr:col>18</xdr:col>
      <xdr:colOff>369206</xdr:colOff>
      <xdr:row>20</xdr:row>
      <xdr:rowOff>43997</xdr:rowOff>
    </xdr:to>
    <xdr:sp macro="" textlink="">
      <xdr:nvSpPr>
        <xdr:cNvPr id="25" name="TextBox 10">
          <a:extLst>
            <a:ext uri="{FF2B5EF4-FFF2-40B4-BE49-F238E27FC236}">
              <a16:creationId xmlns:a16="http://schemas.microsoft.com/office/drawing/2014/main" id="{69B6CCE8-083D-411F-AD32-927D8254CD29}"/>
            </a:ext>
          </a:extLst>
        </xdr:cNvPr>
        <xdr:cNvSpPr txBox="1"/>
      </xdr:nvSpPr>
      <xdr:spPr>
        <a:xfrm>
          <a:off x="17973220" y="4546602"/>
          <a:ext cx="3949700" cy="477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13</xdr:col>
      <xdr:colOff>56062</xdr:colOff>
      <xdr:row>7</xdr:row>
      <xdr:rowOff>73933</xdr:rowOff>
    </xdr:from>
    <xdr:to>
      <xdr:col>14</xdr:col>
      <xdr:colOff>936354</xdr:colOff>
      <xdr:row>10</xdr:row>
      <xdr:rowOff>152400</xdr:rowOff>
    </xdr:to>
    <xdr:sp macro="" textlink="">
      <xdr:nvSpPr>
        <xdr:cNvPr id="16" name="TextBox 13">
          <a:extLst>
            <a:ext uri="{FF2B5EF4-FFF2-40B4-BE49-F238E27FC236}">
              <a16:creationId xmlns:a16="http://schemas.microsoft.com/office/drawing/2014/main" id="{8F189359-393D-4A8A-BED0-8D9B5626C508}"/>
            </a:ext>
          </a:extLst>
        </xdr:cNvPr>
        <xdr:cNvSpPr txBox="1"/>
      </xdr:nvSpPr>
      <xdr:spPr>
        <a:xfrm>
          <a:off x="14619787" y="2693308"/>
          <a:ext cx="2175692" cy="6213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40822</xdr:colOff>
      <xdr:row>18</xdr:row>
      <xdr:rowOff>160565</xdr:rowOff>
    </xdr:from>
    <xdr:to>
      <xdr:col>15</xdr:col>
      <xdr:colOff>464002</xdr:colOff>
      <xdr:row>19</xdr:row>
      <xdr:rowOff>54429</xdr:rowOff>
    </xdr:to>
    <xdr:cxnSp macro="">
      <xdr:nvCxnSpPr>
        <xdr:cNvPr id="19" name="Straight Arrow Connector 5">
          <a:extLst>
            <a:ext uri="{FF2B5EF4-FFF2-40B4-BE49-F238E27FC236}">
              <a16:creationId xmlns:a16="http://schemas.microsoft.com/office/drawing/2014/main" id="{A255F9DA-A314-4D6F-8C95-5F7561E73EC3}"/>
            </a:ext>
          </a:extLst>
        </xdr:cNvPr>
        <xdr:cNvCxnSpPr>
          <a:stCxn id="25" idx="1"/>
        </xdr:cNvCxnSpPr>
      </xdr:nvCxnSpPr>
      <xdr:spPr>
        <a:xfrm flipH="1">
          <a:off x="18247179" y="4786994"/>
          <a:ext cx="423180" cy="7075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1034142</xdr:colOff>
      <xdr:row>20</xdr:row>
      <xdr:rowOff>136072</xdr:rowOff>
    </xdr:from>
    <xdr:to>
      <xdr:col>18</xdr:col>
      <xdr:colOff>1118069</xdr:colOff>
      <xdr:row>24</xdr:row>
      <xdr:rowOff>65878</xdr:rowOff>
    </xdr:to>
    <xdr:sp macro="" textlink="">
      <xdr:nvSpPr>
        <xdr:cNvPr id="4" name="TextBox 27">
          <a:extLst>
            <a:ext uri="{FF2B5EF4-FFF2-40B4-BE49-F238E27FC236}">
              <a16:creationId xmlns:a16="http://schemas.microsoft.com/office/drawing/2014/main" id="{C8B36640-6A32-4129-9044-5C06CD9191E5}"/>
            </a:ext>
          </a:extLst>
        </xdr:cNvPr>
        <xdr:cNvSpPr txBox="1"/>
      </xdr:nvSpPr>
      <xdr:spPr>
        <a:xfrm>
          <a:off x="19240499" y="5306786"/>
          <a:ext cx="4125249"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D4DA468C-5A5A-4A8D-A010-60E02DC85CD1}"/>
            </a:ext>
          </a:extLst>
        </xdr:cNvPr>
        <xdr:cNvSpPr txBox="1"/>
      </xdr:nvSpPr>
      <xdr:spPr>
        <a:xfrm>
          <a:off x="286871" y="1129553"/>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693965</xdr:colOff>
      <xdr:row>20</xdr:row>
      <xdr:rowOff>27215</xdr:rowOff>
    </xdr:from>
    <xdr:to>
      <xdr:col>13</xdr:col>
      <xdr:colOff>960115</xdr:colOff>
      <xdr:row>23</xdr:row>
      <xdr:rowOff>149679</xdr:rowOff>
    </xdr:to>
    <xdr:cxnSp macro="">
      <xdr:nvCxnSpPr>
        <xdr:cNvPr id="32" name="Straight Arrow Connector 5">
          <a:extLst>
            <a:ext uri="{FF2B5EF4-FFF2-40B4-BE49-F238E27FC236}">
              <a16:creationId xmlns:a16="http://schemas.microsoft.com/office/drawing/2014/main" id="{B36E9F57-16C0-4D96-80A8-17AA190B90BE}"/>
            </a:ext>
          </a:extLst>
        </xdr:cNvPr>
        <xdr:cNvCxnSpPr>
          <a:stCxn id="18" idx="0"/>
        </xdr:cNvCxnSpPr>
      </xdr:nvCxnSpPr>
      <xdr:spPr>
        <a:xfrm flipH="1" flipV="1">
          <a:off x="16151679" y="5402036"/>
          <a:ext cx="266150" cy="6531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30389</xdr:colOff>
      <xdr:row>7</xdr:row>
      <xdr:rowOff>64860</xdr:rowOff>
    </xdr:from>
    <xdr:to>
      <xdr:col>13</xdr:col>
      <xdr:colOff>54429</xdr:colOff>
      <xdr:row>19</xdr:row>
      <xdr:rowOff>0</xdr:rowOff>
    </xdr:to>
    <xdr:cxnSp macro="">
      <xdr:nvCxnSpPr>
        <xdr:cNvPr id="31" name="Straight Arrow Connector 2">
          <a:extLst>
            <a:ext uri="{FF2B5EF4-FFF2-40B4-BE49-F238E27FC236}">
              <a16:creationId xmlns:a16="http://schemas.microsoft.com/office/drawing/2014/main" id="{339810AF-3A56-403A-BAEE-8ABFBFE449A2}"/>
            </a:ext>
          </a:extLst>
        </xdr:cNvPr>
        <xdr:cNvCxnSpPr/>
      </xdr:nvCxnSpPr>
      <xdr:spPr>
        <a:xfrm>
          <a:off x="14984639" y="2786289"/>
          <a:ext cx="527504" cy="24116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27214</xdr:colOff>
      <xdr:row>19</xdr:row>
      <xdr:rowOff>54428</xdr:rowOff>
    </xdr:from>
    <xdr:to>
      <xdr:col>13</xdr:col>
      <xdr:colOff>0</xdr:colOff>
      <xdr:row>19</xdr:row>
      <xdr:rowOff>54428</xdr:rowOff>
    </xdr:to>
    <xdr:cxnSp macro="">
      <xdr:nvCxnSpPr>
        <xdr:cNvPr id="30" name="Straight Arrow Connector 3">
          <a:extLst>
            <a:ext uri="{FF2B5EF4-FFF2-40B4-BE49-F238E27FC236}">
              <a16:creationId xmlns:a16="http://schemas.microsoft.com/office/drawing/2014/main" id="{69B393C6-B446-40FF-B04B-D8B27CCA6F25}"/>
            </a:ext>
          </a:extLst>
        </xdr:cNvPr>
        <xdr:cNvCxnSpPr/>
      </xdr:nvCxnSpPr>
      <xdr:spPr>
        <a:xfrm flipV="1">
          <a:off x="14092838" y="6275934"/>
          <a:ext cx="483774"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941436</xdr:colOff>
      <xdr:row>5</xdr:row>
      <xdr:rowOff>40822</xdr:rowOff>
    </xdr:from>
    <xdr:to>
      <xdr:col>13</xdr:col>
      <xdr:colOff>1164591</xdr:colOff>
      <xdr:row>7</xdr:row>
      <xdr:rowOff>66128</xdr:rowOff>
    </xdr:to>
    <xdr:cxnSp macro="">
      <xdr:nvCxnSpPr>
        <xdr:cNvPr id="12" name="Straight Arrow Connector 20">
          <a:extLst>
            <a:ext uri="{FF2B5EF4-FFF2-40B4-BE49-F238E27FC236}">
              <a16:creationId xmlns:a16="http://schemas.microsoft.com/office/drawing/2014/main" id="{218D812F-1B3F-488B-8549-EA6556FFBD9A}"/>
            </a:ext>
          </a:extLst>
        </xdr:cNvPr>
        <xdr:cNvCxnSpPr>
          <a:cxnSpLocks/>
          <a:stCxn id="16" idx="0"/>
        </xdr:cNvCxnSpPr>
      </xdr:nvCxnSpPr>
      <xdr:spPr>
        <a:xfrm flipH="1" flipV="1">
          <a:off x="14009736" y="2288722"/>
          <a:ext cx="1718580" cy="39678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31298</xdr:colOff>
      <xdr:row>7</xdr:row>
      <xdr:rowOff>75293</xdr:rowOff>
    </xdr:from>
    <xdr:to>
      <xdr:col>11</xdr:col>
      <xdr:colOff>907</xdr:colOff>
      <xdr:row>7</xdr:row>
      <xdr:rowOff>75293</xdr:rowOff>
    </xdr:to>
    <xdr:cxnSp macro="">
      <xdr:nvCxnSpPr>
        <xdr:cNvPr id="3" name="Straight Arrow Connector 5">
          <a:extLst>
            <a:ext uri="{FF2B5EF4-FFF2-40B4-BE49-F238E27FC236}">
              <a16:creationId xmlns:a16="http://schemas.microsoft.com/office/drawing/2014/main" id="{C7FEFAEF-1E21-4A04-8F1F-0FD06274D009}"/>
            </a:ext>
          </a:extLst>
        </xdr:cNvPr>
        <xdr:cNvCxnSpPr/>
      </xdr:nvCxnSpPr>
      <xdr:spPr>
        <a:xfrm>
          <a:off x="12994823" y="2789918"/>
          <a:ext cx="960209"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1040495</xdr:colOff>
      <xdr:row>24</xdr:row>
      <xdr:rowOff>149678</xdr:rowOff>
    </xdr:from>
    <xdr:to>
      <xdr:col>16</xdr:col>
      <xdr:colOff>353786</xdr:colOff>
      <xdr:row>25</xdr:row>
      <xdr:rowOff>143329</xdr:rowOff>
    </xdr:to>
    <xdr:cxnSp macro="">
      <xdr:nvCxnSpPr>
        <xdr:cNvPr id="10" name="Straight Arrow Connector 5">
          <a:extLst>
            <a:ext uri="{FF2B5EF4-FFF2-40B4-BE49-F238E27FC236}">
              <a16:creationId xmlns:a16="http://schemas.microsoft.com/office/drawing/2014/main" id="{A42B8C5C-6DDC-4B57-8852-285856F1786B}"/>
            </a:ext>
          </a:extLst>
        </xdr:cNvPr>
        <xdr:cNvCxnSpPr/>
      </xdr:nvCxnSpPr>
      <xdr:spPr>
        <a:xfrm flipH="1">
          <a:off x="19042745" y="6803571"/>
          <a:ext cx="769255" cy="17054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292101</xdr:colOff>
      <xdr:row>23</xdr:row>
      <xdr:rowOff>149679</xdr:rowOff>
    </xdr:from>
    <xdr:to>
      <xdr:col>14</xdr:col>
      <xdr:colOff>805350</xdr:colOff>
      <xdr:row>27</xdr:row>
      <xdr:rowOff>88557</xdr:rowOff>
    </xdr:to>
    <xdr:sp macro="" textlink="">
      <xdr:nvSpPr>
        <xdr:cNvPr id="18" name="TextBox 9">
          <a:extLst>
            <a:ext uri="{FF2B5EF4-FFF2-40B4-BE49-F238E27FC236}">
              <a16:creationId xmlns:a16="http://schemas.microsoft.com/office/drawing/2014/main" id="{013091AC-33B2-497D-A03D-742502DE12F5}"/>
            </a:ext>
          </a:extLst>
        </xdr:cNvPr>
        <xdr:cNvSpPr txBox="1"/>
      </xdr:nvSpPr>
      <xdr:spPr>
        <a:xfrm>
          <a:off x="15259958" y="6055179"/>
          <a:ext cx="2336606" cy="6464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438603</xdr:colOff>
      <xdr:row>17</xdr:row>
      <xdr:rowOff>166462</xdr:rowOff>
    </xdr:from>
    <xdr:to>
      <xdr:col>18</xdr:col>
      <xdr:colOff>350610</xdr:colOff>
      <xdr:row>20</xdr:row>
      <xdr:rowOff>125640</xdr:rowOff>
    </xdr:to>
    <xdr:sp macro="" textlink="">
      <xdr:nvSpPr>
        <xdr:cNvPr id="25" name="TextBox 10">
          <a:extLst>
            <a:ext uri="{FF2B5EF4-FFF2-40B4-BE49-F238E27FC236}">
              <a16:creationId xmlns:a16="http://schemas.microsoft.com/office/drawing/2014/main" id="{5C94A5C9-D610-445E-8D8F-D79AEE221CB2}"/>
            </a:ext>
          </a:extLst>
        </xdr:cNvPr>
        <xdr:cNvSpPr txBox="1"/>
      </xdr:nvSpPr>
      <xdr:spPr>
        <a:xfrm>
          <a:off x="18454460" y="5010605"/>
          <a:ext cx="395332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13</xdr:col>
      <xdr:colOff>91803</xdr:colOff>
      <xdr:row>7</xdr:row>
      <xdr:rowOff>66128</xdr:rowOff>
    </xdr:from>
    <xdr:to>
      <xdr:col>14</xdr:col>
      <xdr:colOff>941978</xdr:colOff>
      <xdr:row>10</xdr:row>
      <xdr:rowOff>161924</xdr:rowOff>
    </xdr:to>
    <xdr:sp macro="" textlink="">
      <xdr:nvSpPr>
        <xdr:cNvPr id="16" name="TextBox 13">
          <a:extLst>
            <a:ext uri="{FF2B5EF4-FFF2-40B4-BE49-F238E27FC236}">
              <a16:creationId xmlns:a16="http://schemas.microsoft.com/office/drawing/2014/main" id="{28EE9249-FC64-48BC-904B-768495658829}"/>
            </a:ext>
          </a:extLst>
        </xdr:cNvPr>
        <xdr:cNvSpPr txBox="1"/>
      </xdr:nvSpPr>
      <xdr:spPr>
        <a:xfrm>
          <a:off x="14655528" y="2685503"/>
          <a:ext cx="2145575" cy="63872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27214</xdr:colOff>
      <xdr:row>19</xdr:row>
      <xdr:rowOff>54429</xdr:rowOff>
    </xdr:from>
    <xdr:to>
      <xdr:col>15</xdr:col>
      <xdr:colOff>438603</xdr:colOff>
      <xdr:row>19</xdr:row>
      <xdr:rowOff>68035</xdr:rowOff>
    </xdr:to>
    <xdr:cxnSp macro="">
      <xdr:nvCxnSpPr>
        <xdr:cNvPr id="35" name="Straight Arrow Connector 5">
          <a:extLst>
            <a:ext uri="{FF2B5EF4-FFF2-40B4-BE49-F238E27FC236}">
              <a16:creationId xmlns:a16="http://schemas.microsoft.com/office/drawing/2014/main" id="{93C4C63D-7232-419C-9BC9-89EFFD97F974}"/>
            </a:ext>
          </a:extLst>
        </xdr:cNvPr>
        <xdr:cNvCxnSpPr>
          <a:stCxn id="25" idx="1"/>
        </xdr:cNvCxnSpPr>
      </xdr:nvCxnSpPr>
      <xdr:spPr>
        <a:xfrm flipH="1">
          <a:off x="18029464" y="5252358"/>
          <a:ext cx="411389" cy="136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208878</xdr:colOff>
      <xdr:row>24</xdr:row>
      <xdr:rowOff>144345</xdr:rowOff>
    </xdr:from>
    <xdr:to>
      <xdr:col>18</xdr:col>
      <xdr:colOff>857250</xdr:colOff>
      <xdr:row>25</xdr:row>
      <xdr:rowOff>160110</xdr:rowOff>
    </xdr:to>
    <xdr:cxnSp macro="">
      <xdr:nvCxnSpPr>
        <xdr:cNvPr id="8" name="Straight Arrow Connector 5">
          <a:extLst>
            <a:ext uri="{FF2B5EF4-FFF2-40B4-BE49-F238E27FC236}">
              <a16:creationId xmlns:a16="http://schemas.microsoft.com/office/drawing/2014/main" id="{476BCF79-8559-4B71-8C90-CC36A77691ED}"/>
            </a:ext>
          </a:extLst>
        </xdr:cNvPr>
        <xdr:cNvCxnSpPr>
          <a:cxnSpLocks/>
          <a:stCxn id="7" idx="2"/>
        </xdr:cNvCxnSpPr>
      </xdr:nvCxnSpPr>
      <xdr:spPr>
        <a:xfrm>
          <a:off x="21123057" y="6798238"/>
          <a:ext cx="1777764" cy="19265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1058182</xdr:colOff>
      <xdr:row>21</xdr:row>
      <xdr:rowOff>40821</xdr:rowOff>
    </xdr:from>
    <xdr:to>
      <xdr:col>18</xdr:col>
      <xdr:colOff>1145285</xdr:colOff>
      <xdr:row>24</xdr:row>
      <xdr:rowOff>147520</xdr:rowOff>
    </xdr:to>
    <xdr:sp macro="" textlink="">
      <xdr:nvSpPr>
        <xdr:cNvPr id="7" name="TextBox 27">
          <a:extLst>
            <a:ext uri="{FF2B5EF4-FFF2-40B4-BE49-F238E27FC236}">
              <a16:creationId xmlns:a16="http://schemas.microsoft.com/office/drawing/2014/main" id="{F7504D8D-631A-458E-9C9B-EAD92548C5B5}"/>
            </a:ext>
          </a:extLst>
        </xdr:cNvPr>
        <xdr:cNvSpPr txBox="1"/>
      </xdr:nvSpPr>
      <xdr:spPr>
        <a:xfrm>
          <a:off x="19060432" y="6164035"/>
          <a:ext cx="412842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10D48774-C392-43B2-BA0E-6486B0E7172A}"/>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112</xdr:row>
      <xdr:rowOff>0</xdr:rowOff>
    </xdr:from>
    <xdr:to>
      <xdr:col>26</xdr:col>
      <xdr:colOff>296334</xdr:colOff>
      <xdr:row>130</xdr:row>
      <xdr:rowOff>455</xdr:rowOff>
    </xdr:to>
    <xdr:pic>
      <xdr:nvPicPr>
        <xdr:cNvPr id="37" name="Picture 6">
          <a:extLst>
            <a:ext uri="{FF2B5EF4-FFF2-40B4-BE49-F238E27FC236}">
              <a16:creationId xmlns:a16="http://schemas.microsoft.com/office/drawing/2014/main" id="{AEB71979-E1C1-4707-A21C-37EFBDFCBA3D}"/>
            </a:ext>
          </a:extLst>
        </xdr:cNvPr>
        <xdr:cNvPicPr>
          <a:picLocks noChangeAspect="1"/>
        </xdr:cNvPicPr>
      </xdr:nvPicPr>
      <xdr:blipFill>
        <a:blip xmlns:r="http://schemas.openxmlformats.org/officeDocument/2006/relationships" r:embed="rId1"/>
        <a:stretch>
          <a:fillRect/>
        </a:stretch>
      </xdr:blipFill>
      <xdr:spPr>
        <a:xfrm>
          <a:off x="592668" y="23050500"/>
          <a:ext cx="16499416" cy="3238955"/>
        </a:xfrm>
        <a:prstGeom prst="rect">
          <a:avLst/>
        </a:prstGeom>
      </xdr:spPr>
    </xdr:pic>
    <xdr:clientData/>
  </xdr:twoCellAnchor>
  <xdr:twoCellAnchor editAs="oneCell">
    <xdr:from>
      <xdr:col>1</xdr:col>
      <xdr:colOff>1086483</xdr:colOff>
      <xdr:row>131</xdr:row>
      <xdr:rowOff>114935</xdr:rowOff>
    </xdr:from>
    <xdr:to>
      <xdr:col>26</xdr:col>
      <xdr:colOff>401955</xdr:colOff>
      <xdr:row>146</xdr:row>
      <xdr:rowOff>54308</xdr:rowOff>
    </xdr:to>
    <xdr:pic>
      <xdr:nvPicPr>
        <xdr:cNvPr id="2" name="Picture 1">
          <a:extLst>
            <a:ext uri="{FF2B5EF4-FFF2-40B4-BE49-F238E27FC236}">
              <a16:creationId xmlns:a16="http://schemas.microsoft.com/office/drawing/2014/main" id="{30D251BE-2A44-41D0-A752-4E6BED016FC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77033" y="27365960"/>
          <a:ext cx="15182217" cy="2646378"/>
        </a:xfrm>
        <a:prstGeom prst="rect">
          <a:avLst/>
        </a:prstGeom>
      </xdr:spPr>
    </xdr:pic>
    <xdr:clientData/>
  </xdr:twoCellAnchor>
  <xdr:twoCellAnchor editAs="oneCell">
    <xdr:from>
      <xdr:col>1</xdr:col>
      <xdr:colOff>1079499</xdr:colOff>
      <xdr:row>13</xdr:row>
      <xdr:rowOff>127000</xdr:rowOff>
    </xdr:from>
    <xdr:to>
      <xdr:col>26</xdr:col>
      <xdr:colOff>137596</xdr:colOff>
      <xdr:row>19</xdr:row>
      <xdr:rowOff>123975</xdr:rowOff>
    </xdr:to>
    <xdr:pic>
      <xdr:nvPicPr>
        <xdr:cNvPr id="4" name="Picture 3">
          <a:extLst>
            <a:ext uri="{FF2B5EF4-FFF2-40B4-BE49-F238E27FC236}">
              <a16:creationId xmlns:a16="http://schemas.microsoft.com/office/drawing/2014/main" id="{F8443970-8181-BC6A-4286-169F486BA6C9}"/>
            </a:ext>
          </a:extLst>
        </xdr:cNvPr>
        <xdr:cNvPicPr>
          <a:picLocks noChangeAspect="1"/>
        </xdr:cNvPicPr>
      </xdr:nvPicPr>
      <xdr:blipFill>
        <a:blip xmlns:r="http://schemas.openxmlformats.org/officeDocument/2006/relationships" r:embed="rId3"/>
        <a:stretch>
          <a:fillRect/>
        </a:stretch>
      </xdr:blipFill>
      <xdr:spPr>
        <a:xfrm>
          <a:off x="1672166" y="2518833"/>
          <a:ext cx="15261180" cy="1076475"/>
        </a:xfrm>
        <a:prstGeom prst="rect">
          <a:avLst/>
        </a:prstGeom>
      </xdr:spPr>
    </xdr:pic>
    <xdr:clientData/>
  </xdr:twoCellAnchor>
  <xdr:twoCellAnchor editAs="oneCell">
    <xdr:from>
      <xdr:col>1</xdr:col>
      <xdr:colOff>0</xdr:colOff>
      <xdr:row>24</xdr:row>
      <xdr:rowOff>0</xdr:rowOff>
    </xdr:from>
    <xdr:to>
      <xdr:col>26</xdr:col>
      <xdr:colOff>125046</xdr:colOff>
      <xdr:row>38</xdr:row>
      <xdr:rowOff>120040</xdr:rowOff>
    </xdr:to>
    <xdr:pic>
      <xdr:nvPicPr>
        <xdr:cNvPr id="8" name="Picture 7">
          <a:extLst>
            <a:ext uri="{FF2B5EF4-FFF2-40B4-BE49-F238E27FC236}">
              <a16:creationId xmlns:a16="http://schemas.microsoft.com/office/drawing/2014/main" id="{3276771B-F331-21E3-C8E4-F28A31B46EE4}"/>
            </a:ext>
          </a:extLst>
        </xdr:cNvPr>
        <xdr:cNvPicPr>
          <a:picLocks noChangeAspect="1"/>
        </xdr:cNvPicPr>
      </xdr:nvPicPr>
      <xdr:blipFill>
        <a:blip xmlns:r="http://schemas.openxmlformats.org/officeDocument/2006/relationships" r:embed="rId4"/>
        <a:stretch>
          <a:fillRect/>
        </a:stretch>
      </xdr:blipFill>
      <xdr:spPr>
        <a:xfrm>
          <a:off x="592667" y="4593167"/>
          <a:ext cx="16328129" cy="3210373"/>
        </a:xfrm>
        <a:prstGeom prst="rect">
          <a:avLst/>
        </a:prstGeom>
      </xdr:spPr>
    </xdr:pic>
    <xdr:clientData/>
  </xdr:twoCellAnchor>
  <xdr:twoCellAnchor editAs="oneCell">
    <xdr:from>
      <xdr:col>1</xdr:col>
      <xdr:colOff>21166</xdr:colOff>
      <xdr:row>44</xdr:row>
      <xdr:rowOff>0</xdr:rowOff>
    </xdr:from>
    <xdr:to>
      <xdr:col>26</xdr:col>
      <xdr:colOff>212896</xdr:colOff>
      <xdr:row>70</xdr:row>
      <xdr:rowOff>47226</xdr:rowOff>
    </xdr:to>
    <xdr:pic>
      <xdr:nvPicPr>
        <xdr:cNvPr id="9" name="Picture 8">
          <a:extLst>
            <a:ext uri="{FF2B5EF4-FFF2-40B4-BE49-F238E27FC236}">
              <a16:creationId xmlns:a16="http://schemas.microsoft.com/office/drawing/2014/main" id="{9389A3F7-5A93-EE9F-1D45-F5F35534D1BC}"/>
            </a:ext>
          </a:extLst>
        </xdr:cNvPr>
        <xdr:cNvPicPr>
          <a:picLocks noChangeAspect="1"/>
        </xdr:cNvPicPr>
      </xdr:nvPicPr>
      <xdr:blipFill>
        <a:blip xmlns:r="http://schemas.openxmlformats.org/officeDocument/2006/relationships" r:embed="rId5"/>
        <a:stretch>
          <a:fillRect/>
        </a:stretch>
      </xdr:blipFill>
      <xdr:spPr>
        <a:xfrm>
          <a:off x="613833" y="8985250"/>
          <a:ext cx="16394813" cy="4725059"/>
        </a:xfrm>
        <a:prstGeom prst="rect">
          <a:avLst/>
        </a:prstGeom>
      </xdr:spPr>
    </xdr:pic>
    <xdr:clientData/>
  </xdr:twoCellAnchor>
  <xdr:twoCellAnchor editAs="oneCell">
    <xdr:from>
      <xdr:col>1</xdr:col>
      <xdr:colOff>52915</xdr:colOff>
      <xdr:row>72</xdr:row>
      <xdr:rowOff>42332</xdr:rowOff>
    </xdr:from>
    <xdr:to>
      <xdr:col>26</xdr:col>
      <xdr:colOff>235119</xdr:colOff>
      <xdr:row>92</xdr:row>
      <xdr:rowOff>178320</xdr:rowOff>
    </xdr:to>
    <xdr:pic>
      <xdr:nvPicPr>
        <xdr:cNvPr id="10" name="Picture 9">
          <a:extLst>
            <a:ext uri="{FF2B5EF4-FFF2-40B4-BE49-F238E27FC236}">
              <a16:creationId xmlns:a16="http://schemas.microsoft.com/office/drawing/2014/main" id="{4AA0D135-CD91-C464-B749-19DF329C66AC}"/>
            </a:ext>
          </a:extLst>
        </xdr:cNvPr>
        <xdr:cNvPicPr>
          <a:picLocks noChangeAspect="1"/>
        </xdr:cNvPicPr>
      </xdr:nvPicPr>
      <xdr:blipFill>
        <a:blip xmlns:r="http://schemas.openxmlformats.org/officeDocument/2006/relationships" r:embed="rId6"/>
        <a:stretch>
          <a:fillRect/>
        </a:stretch>
      </xdr:blipFill>
      <xdr:spPr>
        <a:xfrm>
          <a:off x="645582" y="14065249"/>
          <a:ext cx="16385287" cy="3734321"/>
        </a:xfrm>
        <a:prstGeom prst="rect">
          <a:avLst/>
        </a:prstGeom>
      </xdr:spPr>
    </xdr:pic>
    <xdr:clientData/>
  </xdr:twoCellAnchor>
  <xdr:twoCellAnchor editAs="oneCell">
    <xdr:from>
      <xdr:col>1</xdr:col>
      <xdr:colOff>21166</xdr:colOff>
      <xdr:row>97</xdr:row>
      <xdr:rowOff>0</xdr:rowOff>
    </xdr:from>
    <xdr:to>
      <xdr:col>26</xdr:col>
      <xdr:colOff>203370</xdr:colOff>
      <xdr:row>109</xdr:row>
      <xdr:rowOff>164566</xdr:rowOff>
    </xdr:to>
    <xdr:pic>
      <xdr:nvPicPr>
        <xdr:cNvPr id="12" name="Picture 11">
          <a:extLst>
            <a:ext uri="{FF2B5EF4-FFF2-40B4-BE49-F238E27FC236}">
              <a16:creationId xmlns:a16="http://schemas.microsoft.com/office/drawing/2014/main" id="{61997420-8A16-3AD3-0A98-042F6F7E5BEA}"/>
            </a:ext>
          </a:extLst>
        </xdr:cNvPr>
        <xdr:cNvPicPr>
          <a:picLocks noChangeAspect="1"/>
        </xdr:cNvPicPr>
      </xdr:nvPicPr>
      <xdr:blipFill>
        <a:blip xmlns:r="http://schemas.openxmlformats.org/officeDocument/2006/relationships" r:embed="rId7"/>
        <a:stretch>
          <a:fillRect/>
        </a:stretch>
      </xdr:blipFill>
      <xdr:spPr>
        <a:xfrm>
          <a:off x="613833" y="18520833"/>
          <a:ext cx="16385287" cy="37629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680357</xdr:colOff>
      <xdr:row>20</xdr:row>
      <xdr:rowOff>13607</xdr:rowOff>
    </xdr:from>
    <xdr:to>
      <xdr:col>13</xdr:col>
      <xdr:colOff>1079403</xdr:colOff>
      <xdr:row>23</xdr:row>
      <xdr:rowOff>149679</xdr:rowOff>
    </xdr:to>
    <xdr:cxnSp macro="">
      <xdr:nvCxnSpPr>
        <xdr:cNvPr id="26" name="Straight Arrow Connector 5">
          <a:extLst>
            <a:ext uri="{FF2B5EF4-FFF2-40B4-BE49-F238E27FC236}">
              <a16:creationId xmlns:a16="http://schemas.microsoft.com/office/drawing/2014/main" id="{7B3C1E7F-525B-4157-8B71-EEDDF44E2333}"/>
            </a:ext>
          </a:extLst>
        </xdr:cNvPr>
        <xdr:cNvCxnSpPr>
          <a:stCxn id="20" idx="0"/>
        </xdr:cNvCxnSpPr>
      </xdr:nvCxnSpPr>
      <xdr:spPr>
        <a:xfrm flipH="1" flipV="1">
          <a:off x="16042821" y="4966607"/>
          <a:ext cx="399046" cy="6667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30389</xdr:colOff>
      <xdr:row>7</xdr:row>
      <xdr:rowOff>105682</xdr:rowOff>
    </xdr:from>
    <xdr:to>
      <xdr:col>13</xdr:col>
      <xdr:colOff>68036</xdr:colOff>
      <xdr:row>18</xdr:row>
      <xdr:rowOff>149679</xdr:rowOff>
    </xdr:to>
    <xdr:cxnSp macro="">
      <xdr:nvCxnSpPr>
        <xdr:cNvPr id="3" name="Straight Arrow Connector 2">
          <a:extLst>
            <a:ext uri="{FF2B5EF4-FFF2-40B4-BE49-F238E27FC236}">
              <a16:creationId xmlns:a16="http://schemas.microsoft.com/office/drawing/2014/main" id="{699A1848-A127-4FD8-BC9E-CF51BDF54D3A}"/>
            </a:ext>
          </a:extLst>
        </xdr:cNvPr>
        <xdr:cNvCxnSpPr/>
      </xdr:nvCxnSpPr>
      <xdr:spPr>
        <a:xfrm>
          <a:off x="14889389" y="2759075"/>
          <a:ext cx="541111" cy="198981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22572</xdr:colOff>
      <xdr:row>19</xdr:row>
      <xdr:rowOff>91117</xdr:rowOff>
    </xdr:from>
    <xdr:to>
      <xdr:col>12</xdr:col>
      <xdr:colOff>485215</xdr:colOff>
      <xdr:row>19</xdr:row>
      <xdr:rowOff>91117</xdr:rowOff>
    </xdr:to>
    <xdr:cxnSp macro="">
      <xdr:nvCxnSpPr>
        <xdr:cNvPr id="12" name="Straight Arrow Connector 3">
          <a:extLst>
            <a:ext uri="{FF2B5EF4-FFF2-40B4-BE49-F238E27FC236}">
              <a16:creationId xmlns:a16="http://schemas.microsoft.com/office/drawing/2014/main" id="{31B8E011-DC1F-431C-AEAF-48BD78FCB7FF}"/>
            </a:ext>
          </a:extLst>
        </xdr:cNvPr>
        <xdr:cNvCxnSpPr/>
      </xdr:nvCxnSpPr>
      <xdr:spPr>
        <a:xfrm flipV="1">
          <a:off x="14088196" y="5218929"/>
          <a:ext cx="462643"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941436</xdr:colOff>
      <xdr:row>5</xdr:row>
      <xdr:rowOff>54430</xdr:rowOff>
    </xdr:from>
    <xdr:to>
      <xdr:col>13</xdr:col>
      <xdr:colOff>1168718</xdr:colOff>
      <xdr:row>7</xdr:row>
      <xdr:rowOff>40821</xdr:rowOff>
    </xdr:to>
    <xdr:cxnSp macro="">
      <xdr:nvCxnSpPr>
        <xdr:cNvPr id="6" name="Straight Arrow Connector 20">
          <a:extLst>
            <a:ext uri="{FF2B5EF4-FFF2-40B4-BE49-F238E27FC236}">
              <a16:creationId xmlns:a16="http://schemas.microsoft.com/office/drawing/2014/main" id="{AB37A8A3-673F-4D31-925E-62DA55D1C5E4}"/>
            </a:ext>
          </a:extLst>
        </xdr:cNvPr>
        <xdr:cNvCxnSpPr>
          <a:cxnSpLocks/>
          <a:stCxn id="16" idx="0"/>
        </xdr:cNvCxnSpPr>
      </xdr:nvCxnSpPr>
      <xdr:spPr>
        <a:xfrm flipH="1" flipV="1">
          <a:off x="14009736" y="2302330"/>
          <a:ext cx="1722707" cy="35786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11339</xdr:colOff>
      <xdr:row>7</xdr:row>
      <xdr:rowOff>107043</xdr:rowOff>
    </xdr:from>
    <xdr:to>
      <xdr:col>11</xdr:col>
      <xdr:colOff>8165</xdr:colOff>
      <xdr:row>7</xdr:row>
      <xdr:rowOff>107043</xdr:rowOff>
    </xdr:to>
    <xdr:cxnSp macro="">
      <xdr:nvCxnSpPr>
        <xdr:cNvPr id="9" name="Straight Arrow Connector 5">
          <a:extLst>
            <a:ext uri="{FF2B5EF4-FFF2-40B4-BE49-F238E27FC236}">
              <a16:creationId xmlns:a16="http://schemas.microsoft.com/office/drawing/2014/main" id="{BFA64CB5-44F0-43F0-99F5-64CE882D8B7F}"/>
            </a:ext>
          </a:extLst>
        </xdr:cNvPr>
        <xdr:cNvCxnSpPr/>
      </xdr:nvCxnSpPr>
      <xdr:spPr>
        <a:xfrm flipV="1">
          <a:off x="12140586" y="2715772"/>
          <a:ext cx="94708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1006930</xdr:colOff>
      <xdr:row>24</xdr:row>
      <xdr:rowOff>112033</xdr:rowOff>
    </xdr:from>
    <xdr:to>
      <xdr:col>16</xdr:col>
      <xdr:colOff>530679</xdr:colOff>
      <xdr:row>25</xdr:row>
      <xdr:rowOff>146505</xdr:rowOff>
    </xdr:to>
    <xdr:cxnSp macro="">
      <xdr:nvCxnSpPr>
        <xdr:cNvPr id="23" name="Straight Arrow Connector 5">
          <a:extLst>
            <a:ext uri="{FF2B5EF4-FFF2-40B4-BE49-F238E27FC236}">
              <a16:creationId xmlns:a16="http://schemas.microsoft.com/office/drawing/2014/main" id="{B51FA11B-07F9-460F-8018-FDF6CBBC0BB1}"/>
            </a:ext>
          </a:extLst>
        </xdr:cNvPr>
        <xdr:cNvCxnSpPr/>
      </xdr:nvCxnSpPr>
      <xdr:spPr>
        <a:xfrm flipH="1">
          <a:off x="18913930" y="5772604"/>
          <a:ext cx="979713" cy="21136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284851</xdr:colOff>
      <xdr:row>24</xdr:row>
      <xdr:rowOff>113957</xdr:rowOff>
    </xdr:from>
    <xdr:to>
      <xdr:col>18</xdr:col>
      <xdr:colOff>64861</xdr:colOff>
      <xdr:row>25</xdr:row>
      <xdr:rowOff>125640</xdr:rowOff>
    </xdr:to>
    <xdr:cxnSp macro="">
      <xdr:nvCxnSpPr>
        <xdr:cNvPr id="7" name="Straight Arrow Connector 5">
          <a:extLst>
            <a:ext uri="{FF2B5EF4-FFF2-40B4-BE49-F238E27FC236}">
              <a16:creationId xmlns:a16="http://schemas.microsoft.com/office/drawing/2014/main" id="{3361EDE0-9B41-49D7-9F40-16EBB2F7E66C}"/>
            </a:ext>
          </a:extLst>
        </xdr:cNvPr>
        <xdr:cNvCxnSpPr>
          <a:cxnSpLocks/>
          <a:stCxn id="5" idx="2"/>
        </xdr:cNvCxnSpPr>
      </xdr:nvCxnSpPr>
      <xdr:spPr>
        <a:xfrm>
          <a:off x="21103780" y="5965028"/>
          <a:ext cx="909402" cy="18857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411389</xdr:colOff>
      <xdr:row>23</xdr:row>
      <xdr:rowOff>149679</xdr:rowOff>
    </xdr:from>
    <xdr:to>
      <xdr:col>14</xdr:col>
      <xdr:colOff>934163</xdr:colOff>
      <xdr:row>27</xdr:row>
      <xdr:rowOff>88557</xdr:rowOff>
    </xdr:to>
    <xdr:sp macro="" textlink="">
      <xdr:nvSpPr>
        <xdr:cNvPr id="20" name="TextBox 9">
          <a:extLst>
            <a:ext uri="{FF2B5EF4-FFF2-40B4-BE49-F238E27FC236}">
              <a16:creationId xmlns:a16="http://schemas.microsoft.com/office/drawing/2014/main" id="{1F5260BF-FDF1-4DAF-8A35-8DB6AB900F06}"/>
            </a:ext>
          </a:extLst>
        </xdr:cNvPr>
        <xdr:cNvSpPr txBox="1"/>
      </xdr:nvSpPr>
      <xdr:spPr>
        <a:xfrm>
          <a:off x="15270389" y="5633358"/>
          <a:ext cx="2346131" cy="6464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452209</xdr:colOff>
      <xdr:row>17</xdr:row>
      <xdr:rowOff>139249</xdr:rowOff>
    </xdr:from>
    <xdr:to>
      <xdr:col>18</xdr:col>
      <xdr:colOff>370567</xdr:colOff>
      <xdr:row>20</xdr:row>
      <xdr:rowOff>98426</xdr:rowOff>
    </xdr:to>
    <xdr:sp macro="" textlink="">
      <xdr:nvSpPr>
        <xdr:cNvPr id="24" name="TextBox 10">
          <a:extLst>
            <a:ext uri="{FF2B5EF4-FFF2-40B4-BE49-F238E27FC236}">
              <a16:creationId xmlns:a16="http://schemas.microsoft.com/office/drawing/2014/main" id="{1801ACB0-E066-4EFB-AAAE-16AAFB0B79BC}"/>
            </a:ext>
          </a:extLst>
        </xdr:cNvPr>
        <xdr:cNvSpPr txBox="1"/>
      </xdr:nvSpPr>
      <xdr:spPr>
        <a:xfrm>
          <a:off x="18359209" y="4561570"/>
          <a:ext cx="395967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13</xdr:col>
      <xdr:colOff>91803</xdr:colOff>
      <xdr:row>7</xdr:row>
      <xdr:rowOff>40821</xdr:rowOff>
    </xdr:from>
    <xdr:to>
      <xdr:col>14</xdr:col>
      <xdr:colOff>950233</xdr:colOff>
      <xdr:row>10</xdr:row>
      <xdr:rowOff>142875</xdr:rowOff>
    </xdr:to>
    <xdr:sp macro="" textlink="">
      <xdr:nvSpPr>
        <xdr:cNvPr id="16" name="TextBox 13">
          <a:extLst>
            <a:ext uri="{FF2B5EF4-FFF2-40B4-BE49-F238E27FC236}">
              <a16:creationId xmlns:a16="http://schemas.microsoft.com/office/drawing/2014/main" id="{B4DDF9F8-AA1E-44AA-AD69-384C285A8040}"/>
            </a:ext>
          </a:extLst>
        </xdr:cNvPr>
        <xdr:cNvSpPr txBox="1"/>
      </xdr:nvSpPr>
      <xdr:spPr>
        <a:xfrm>
          <a:off x="14655528" y="2660196"/>
          <a:ext cx="2153830" cy="6449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0</xdr:colOff>
      <xdr:row>19</xdr:row>
      <xdr:rowOff>33566</xdr:rowOff>
    </xdr:from>
    <xdr:to>
      <xdr:col>15</xdr:col>
      <xdr:colOff>449034</xdr:colOff>
      <xdr:row>19</xdr:row>
      <xdr:rowOff>95250</xdr:rowOff>
    </xdr:to>
    <xdr:cxnSp macro="">
      <xdr:nvCxnSpPr>
        <xdr:cNvPr id="27" name="Straight Arrow Connector 5">
          <a:extLst>
            <a:ext uri="{FF2B5EF4-FFF2-40B4-BE49-F238E27FC236}">
              <a16:creationId xmlns:a16="http://schemas.microsoft.com/office/drawing/2014/main" id="{8B181D14-312F-4789-9BA3-D328D51F14A2}"/>
            </a:ext>
          </a:extLst>
        </xdr:cNvPr>
        <xdr:cNvCxnSpPr>
          <a:stCxn id="24" idx="1"/>
        </xdr:cNvCxnSpPr>
      </xdr:nvCxnSpPr>
      <xdr:spPr>
        <a:xfrm flipH="1">
          <a:off x="17907000" y="4809673"/>
          <a:ext cx="449034" cy="6168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1129393</xdr:colOff>
      <xdr:row>21</xdr:row>
      <xdr:rowOff>13607</xdr:rowOff>
    </xdr:from>
    <xdr:to>
      <xdr:col>18</xdr:col>
      <xdr:colOff>1219671</xdr:colOff>
      <xdr:row>24</xdr:row>
      <xdr:rowOff>113957</xdr:rowOff>
    </xdr:to>
    <xdr:sp macro="" textlink="">
      <xdr:nvSpPr>
        <xdr:cNvPr id="5" name="TextBox 27">
          <a:extLst>
            <a:ext uri="{FF2B5EF4-FFF2-40B4-BE49-F238E27FC236}">
              <a16:creationId xmlns:a16="http://schemas.microsoft.com/office/drawing/2014/main" id="{FCCC0763-C3C3-4C76-83BD-EADACC1189F7}"/>
            </a:ext>
          </a:extLst>
        </xdr:cNvPr>
        <xdr:cNvSpPr txBox="1"/>
      </xdr:nvSpPr>
      <xdr:spPr>
        <a:xfrm>
          <a:off x="19036393" y="5334000"/>
          <a:ext cx="4131599"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D110BD77-031C-44FD-89D8-B2B7D5816B9D}"/>
            </a:ext>
          </a:extLst>
        </xdr:cNvPr>
        <xdr:cNvSpPr txBox="1"/>
      </xdr:nvSpPr>
      <xdr:spPr>
        <a:xfrm>
          <a:off x="286871" y="1093694"/>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693964</xdr:colOff>
      <xdr:row>9</xdr:row>
      <xdr:rowOff>81642</xdr:rowOff>
    </xdr:from>
    <xdr:to>
      <xdr:col>13</xdr:col>
      <xdr:colOff>846495</xdr:colOff>
      <xdr:row>14</xdr:row>
      <xdr:rowOff>0</xdr:rowOff>
    </xdr:to>
    <xdr:cxnSp macro="">
      <xdr:nvCxnSpPr>
        <xdr:cNvPr id="18" name="Straight Arrow Connector 5">
          <a:extLst>
            <a:ext uri="{FF2B5EF4-FFF2-40B4-BE49-F238E27FC236}">
              <a16:creationId xmlns:a16="http://schemas.microsoft.com/office/drawing/2014/main" id="{07FDAC49-1749-42D3-B32D-1A05A48FE9A1}"/>
            </a:ext>
          </a:extLst>
        </xdr:cNvPr>
        <xdr:cNvCxnSpPr>
          <a:stCxn id="17" idx="0"/>
        </xdr:cNvCxnSpPr>
      </xdr:nvCxnSpPr>
      <xdr:spPr>
        <a:xfrm flipH="1" flipV="1">
          <a:off x="15729857" y="2993571"/>
          <a:ext cx="152531" cy="8028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26894</xdr:colOff>
      <xdr:row>7</xdr:row>
      <xdr:rowOff>107577</xdr:rowOff>
    </xdr:from>
    <xdr:to>
      <xdr:col>12</xdr:col>
      <xdr:colOff>471608</xdr:colOff>
      <xdr:row>8</xdr:row>
      <xdr:rowOff>50425</xdr:rowOff>
    </xdr:to>
    <xdr:cxnSp macro="">
      <xdr:nvCxnSpPr>
        <xdr:cNvPr id="52" name="Straight Arrow Connector 2">
          <a:extLst>
            <a:ext uri="{FF2B5EF4-FFF2-40B4-BE49-F238E27FC236}">
              <a16:creationId xmlns:a16="http://schemas.microsoft.com/office/drawing/2014/main" id="{0505E263-DBE2-40CE-B730-B5FCFA0489CB}"/>
            </a:ext>
          </a:extLst>
        </xdr:cNvPr>
        <xdr:cNvCxnSpPr/>
      </xdr:nvCxnSpPr>
      <xdr:spPr>
        <a:xfrm>
          <a:off x="14092518" y="2716306"/>
          <a:ext cx="444714" cy="12214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978620</xdr:colOff>
      <xdr:row>8</xdr:row>
      <xdr:rowOff>108538</xdr:rowOff>
    </xdr:from>
    <xdr:to>
      <xdr:col>12</xdr:col>
      <xdr:colOff>506665</xdr:colOff>
      <xdr:row>8</xdr:row>
      <xdr:rowOff>108538</xdr:rowOff>
    </xdr:to>
    <xdr:cxnSp macro="">
      <xdr:nvCxnSpPr>
        <xdr:cNvPr id="4" name="Straight Arrow Connector 3">
          <a:extLst>
            <a:ext uri="{FF2B5EF4-FFF2-40B4-BE49-F238E27FC236}">
              <a16:creationId xmlns:a16="http://schemas.microsoft.com/office/drawing/2014/main" id="{F69F2837-8C3D-4C40-834C-8B36B6F49555}"/>
            </a:ext>
          </a:extLst>
        </xdr:cNvPr>
        <xdr:cNvCxnSpPr/>
      </xdr:nvCxnSpPr>
      <xdr:spPr>
        <a:xfrm flipV="1">
          <a:off x="14058126" y="2896562"/>
          <a:ext cx="514163"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707571</xdr:colOff>
      <xdr:row>5</xdr:row>
      <xdr:rowOff>54429</xdr:rowOff>
    </xdr:from>
    <xdr:to>
      <xdr:col>13</xdr:col>
      <xdr:colOff>268968</xdr:colOff>
      <xdr:row>6</xdr:row>
      <xdr:rowOff>45085</xdr:rowOff>
    </xdr:to>
    <xdr:cxnSp macro="">
      <xdr:nvCxnSpPr>
        <xdr:cNvPr id="23" name="Straight Arrow Connector 20">
          <a:extLst>
            <a:ext uri="{FF2B5EF4-FFF2-40B4-BE49-F238E27FC236}">
              <a16:creationId xmlns:a16="http://schemas.microsoft.com/office/drawing/2014/main" id="{19757E8C-0B89-4888-9652-784353339AE2}"/>
            </a:ext>
          </a:extLst>
        </xdr:cNvPr>
        <xdr:cNvCxnSpPr>
          <a:cxnSpLocks/>
          <a:stCxn id="9" idx="1"/>
        </xdr:cNvCxnSpPr>
      </xdr:nvCxnSpPr>
      <xdr:spPr>
        <a:xfrm flipH="1" flipV="1">
          <a:off x="13775871" y="2302329"/>
          <a:ext cx="1056822" cy="18115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7</xdr:row>
      <xdr:rowOff>95250</xdr:rowOff>
    </xdr:from>
    <xdr:to>
      <xdr:col>11</xdr:col>
      <xdr:colOff>27214</xdr:colOff>
      <xdr:row>7</xdr:row>
      <xdr:rowOff>95251</xdr:rowOff>
    </xdr:to>
    <xdr:cxnSp macro="">
      <xdr:nvCxnSpPr>
        <xdr:cNvPr id="53" name="Straight Arrow Connector 5">
          <a:extLst>
            <a:ext uri="{FF2B5EF4-FFF2-40B4-BE49-F238E27FC236}">
              <a16:creationId xmlns:a16="http://schemas.microsoft.com/office/drawing/2014/main" id="{30538B67-C886-4A0D-BC59-963EAB13B80D}"/>
            </a:ext>
          </a:extLst>
        </xdr:cNvPr>
        <xdr:cNvCxnSpPr/>
      </xdr:nvCxnSpPr>
      <xdr:spPr>
        <a:xfrm flipV="1">
          <a:off x="12586608" y="2653393"/>
          <a:ext cx="1020535" cy="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27214</xdr:colOff>
      <xdr:row>8</xdr:row>
      <xdr:rowOff>163285</xdr:rowOff>
    </xdr:from>
    <xdr:to>
      <xdr:col>15</xdr:col>
      <xdr:colOff>752475</xdr:colOff>
      <xdr:row>10</xdr:row>
      <xdr:rowOff>57433</xdr:rowOff>
    </xdr:to>
    <xdr:cxnSp macro="">
      <xdr:nvCxnSpPr>
        <xdr:cNvPr id="27" name="Straight Arrow Connector 5">
          <a:extLst>
            <a:ext uri="{FF2B5EF4-FFF2-40B4-BE49-F238E27FC236}">
              <a16:creationId xmlns:a16="http://schemas.microsoft.com/office/drawing/2014/main" id="{C0AC9BDE-DDC7-4A77-AFF4-FBCD6D279DA0}"/>
            </a:ext>
          </a:extLst>
        </xdr:cNvPr>
        <xdr:cNvCxnSpPr>
          <a:stCxn id="26" idx="1"/>
        </xdr:cNvCxnSpPr>
      </xdr:nvCxnSpPr>
      <xdr:spPr>
        <a:xfrm flipH="1" flipV="1">
          <a:off x="17607643" y="2898321"/>
          <a:ext cx="725261" cy="2479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146504</xdr:colOff>
      <xdr:row>14</xdr:row>
      <xdr:rowOff>0</xdr:rowOff>
    </xdr:from>
    <xdr:to>
      <xdr:col>14</xdr:col>
      <xdr:colOff>706017</xdr:colOff>
      <xdr:row>17</xdr:row>
      <xdr:rowOff>125296</xdr:rowOff>
    </xdr:to>
    <xdr:sp macro="" textlink="">
      <xdr:nvSpPr>
        <xdr:cNvPr id="17" name="TextBox 7">
          <a:extLst>
            <a:ext uri="{FF2B5EF4-FFF2-40B4-BE49-F238E27FC236}">
              <a16:creationId xmlns:a16="http://schemas.microsoft.com/office/drawing/2014/main" id="{C9976646-2627-4D15-BA6D-E48CE95455A3}"/>
            </a:ext>
          </a:extLst>
        </xdr:cNvPr>
        <xdr:cNvSpPr txBox="1"/>
      </xdr:nvSpPr>
      <xdr:spPr>
        <a:xfrm>
          <a:off x="14706147" y="3796393"/>
          <a:ext cx="2355656" cy="6559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hydrogen output.</a:t>
          </a:r>
          <a:endParaRPr lang="en-GB" sz="1100"/>
        </a:p>
      </xdr:txBody>
    </xdr:sp>
    <xdr:clientData/>
  </xdr:twoCellAnchor>
  <xdr:twoCellAnchor>
    <xdr:from>
      <xdr:col>13</xdr:col>
      <xdr:colOff>268968</xdr:colOff>
      <xdr:row>5</xdr:row>
      <xdr:rowOff>91440</xdr:rowOff>
    </xdr:from>
    <xdr:to>
      <xdr:col>16</xdr:col>
      <xdr:colOff>1028700</xdr:colOff>
      <xdr:row>7</xdr:row>
      <xdr:rowOff>8255</xdr:rowOff>
    </xdr:to>
    <xdr:sp macro="" textlink="">
      <xdr:nvSpPr>
        <xdr:cNvPr id="9" name="TextBox 8">
          <a:extLst>
            <a:ext uri="{FF2B5EF4-FFF2-40B4-BE49-F238E27FC236}">
              <a16:creationId xmlns:a16="http://schemas.microsoft.com/office/drawing/2014/main" id="{2A5FEF62-C845-42F8-851B-321569E383A7}"/>
            </a:ext>
          </a:extLst>
        </xdr:cNvPr>
        <xdr:cNvSpPr txBox="1"/>
      </xdr:nvSpPr>
      <xdr:spPr>
        <a:xfrm>
          <a:off x="14832693" y="2339340"/>
          <a:ext cx="4684032" cy="28829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16</xdr:col>
      <xdr:colOff>1173390</xdr:colOff>
      <xdr:row>16</xdr:row>
      <xdr:rowOff>81642</xdr:rowOff>
    </xdr:from>
    <xdr:to>
      <xdr:col>16</xdr:col>
      <xdr:colOff>1224643</xdr:colOff>
      <xdr:row>19</xdr:row>
      <xdr:rowOff>95250</xdr:rowOff>
    </xdr:to>
    <xdr:cxnSp macro="">
      <xdr:nvCxnSpPr>
        <xdr:cNvPr id="21" name="Straight Arrow Connector 5">
          <a:extLst>
            <a:ext uri="{FF2B5EF4-FFF2-40B4-BE49-F238E27FC236}">
              <a16:creationId xmlns:a16="http://schemas.microsoft.com/office/drawing/2014/main" id="{4B6D7A75-61D7-4776-846B-405C09838AE4}"/>
            </a:ext>
          </a:extLst>
        </xdr:cNvPr>
        <xdr:cNvCxnSpPr>
          <a:cxnSpLocks/>
        </xdr:cNvCxnSpPr>
      </xdr:nvCxnSpPr>
      <xdr:spPr>
        <a:xfrm flipH="1">
          <a:off x="20209783" y="4231821"/>
          <a:ext cx="51253" cy="36739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1037318</xdr:colOff>
      <xdr:row>16</xdr:row>
      <xdr:rowOff>95250</xdr:rowOff>
    </xdr:from>
    <xdr:to>
      <xdr:col>16</xdr:col>
      <xdr:colOff>1265464</xdr:colOff>
      <xdr:row>19</xdr:row>
      <xdr:rowOff>84818</xdr:rowOff>
    </xdr:to>
    <xdr:cxnSp macro="">
      <xdr:nvCxnSpPr>
        <xdr:cNvPr id="20" name="Straight Arrow Connector 5">
          <a:extLst>
            <a:ext uri="{FF2B5EF4-FFF2-40B4-BE49-F238E27FC236}">
              <a16:creationId xmlns:a16="http://schemas.microsoft.com/office/drawing/2014/main" id="{6F19FA99-90EE-4503-82B4-4A4B5C830447}"/>
            </a:ext>
          </a:extLst>
        </xdr:cNvPr>
        <xdr:cNvCxnSpPr>
          <a:cxnSpLocks/>
        </xdr:cNvCxnSpPr>
      </xdr:nvCxnSpPr>
      <xdr:spPr>
        <a:xfrm flipH="1">
          <a:off x="18617747" y="4245429"/>
          <a:ext cx="1684110" cy="34335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283265</xdr:colOff>
      <xdr:row>16</xdr:row>
      <xdr:rowOff>93092</xdr:rowOff>
    </xdr:from>
    <xdr:to>
      <xdr:col>18</xdr:col>
      <xdr:colOff>911679</xdr:colOff>
      <xdr:row>17</xdr:row>
      <xdr:rowOff>136072</xdr:rowOff>
    </xdr:to>
    <xdr:cxnSp macro="">
      <xdr:nvCxnSpPr>
        <xdr:cNvPr id="19" name="Straight Arrow Connector 5">
          <a:extLst>
            <a:ext uri="{FF2B5EF4-FFF2-40B4-BE49-F238E27FC236}">
              <a16:creationId xmlns:a16="http://schemas.microsoft.com/office/drawing/2014/main" id="{668DC8BE-1065-4D7E-8CC4-EC84DF4E3D66}"/>
            </a:ext>
          </a:extLst>
        </xdr:cNvPr>
        <xdr:cNvCxnSpPr>
          <a:cxnSpLocks/>
          <a:stCxn id="15" idx="2"/>
        </xdr:cNvCxnSpPr>
      </xdr:nvCxnSpPr>
      <xdr:spPr>
        <a:xfrm>
          <a:off x="20775622" y="4243271"/>
          <a:ext cx="1757807" cy="2198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755650</xdr:colOff>
      <xdr:row>8</xdr:row>
      <xdr:rowOff>84818</xdr:rowOff>
    </xdr:from>
    <xdr:to>
      <xdr:col>17</xdr:col>
      <xdr:colOff>453118</xdr:colOff>
      <xdr:row>12</xdr:row>
      <xdr:rowOff>30046</xdr:rowOff>
    </xdr:to>
    <xdr:sp macro="" textlink="">
      <xdr:nvSpPr>
        <xdr:cNvPr id="26" name="TextBox 13">
          <a:extLst>
            <a:ext uri="{FF2B5EF4-FFF2-40B4-BE49-F238E27FC236}">
              <a16:creationId xmlns:a16="http://schemas.microsoft.com/office/drawing/2014/main" id="{CC559CFE-75F6-4C6B-ADF9-C65FA34C5889}"/>
            </a:ext>
          </a:extLst>
        </xdr:cNvPr>
        <xdr:cNvSpPr txBox="1"/>
      </xdr:nvSpPr>
      <xdr:spPr>
        <a:xfrm>
          <a:off x="18336079" y="2819854"/>
          <a:ext cx="2609396" cy="6527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15</xdr:col>
      <xdr:colOff>1129393</xdr:colOff>
      <xdr:row>12</xdr:row>
      <xdr:rowOff>163286</xdr:rowOff>
    </xdr:from>
    <xdr:to>
      <xdr:col>18</xdr:col>
      <xdr:colOff>1216496</xdr:colOff>
      <xdr:row>16</xdr:row>
      <xdr:rowOff>93092</xdr:rowOff>
    </xdr:to>
    <xdr:sp macro="" textlink="">
      <xdr:nvSpPr>
        <xdr:cNvPr id="15" name="TextBox 27">
          <a:extLst>
            <a:ext uri="{FF2B5EF4-FFF2-40B4-BE49-F238E27FC236}">
              <a16:creationId xmlns:a16="http://schemas.microsoft.com/office/drawing/2014/main" id="{93DFB5A5-654C-4942-90B4-7E2041EDCAB6}"/>
            </a:ext>
          </a:extLst>
        </xdr:cNvPr>
        <xdr:cNvSpPr txBox="1"/>
      </xdr:nvSpPr>
      <xdr:spPr>
        <a:xfrm>
          <a:off x="18709822" y="3605893"/>
          <a:ext cx="412842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803274</xdr:colOff>
      <xdr:row>78</xdr:row>
      <xdr:rowOff>168275</xdr:rowOff>
    </xdr:from>
    <xdr:to>
      <xdr:col>7</xdr:col>
      <xdr:colOff>692602</xdr:colOff>
      <xdr:row>81</xdr:row>
      <xdr:rowOff>102054</xdr:rowOff>
    </xdr:to>
    <xdr:sp macro="" textlink="">
      <xdr:nvSpPr>
        <xdr:cNvPr id="28" name="TextBox 7">
          <a:extLst>
            <a:ext uri="{FF2B5EF4-FFF2-40B4-BE49-F238E27FC236}">
              <a16:creationId xmlns:a16="http://schemas.microsoft.com/office/drawing/2014/main" id="{26E4BCA4-CEA2-4227-8BA4-78E96A04EA76}"/>
            </a:ext>
          </a:extLst>
        </xdr:cNvPr>
        <xdr:cNvSpPr txBox="1"/>
      </xdr:nvSpPr>
      <xdr:spPr>
        <a:xfrm>
          <a:off x="7156449" y="16951325"/>
          <a:ext cx="2984953" cy="4767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a:t>
          </a:r>
          <a:endParaRPr lang="en-GB" sz="1100"/>
        </a:p>
      </xdr:txBody>
    </xdr:sp>
    <xdr:clientData/>
  </xdr:twoCellAnchor>
  <xdr:twoCellAnchor>
    <xdr:from>
      <xdr:col>5</xdr:col>
      <xdr:colOff>95250</xdr:colOff>
      <xdr:row>78</xdr:row>
      <xdr:rowOff>133351</xdr:rowOff>
    </xdr:from>
    <xdr:to>
      <xdr:col>5</xdr:col>
      <xdr:colOff>803274</xdr:colOff>
      <xdr:row>80</xdr:row>
      <xdr:rowOff>46718</xdr:rowOff>
    </xdr:to>
    <xdr:cxnSp macro="">
      <xdr:nvCxnSpPr>
        <xdr:cNvPr id="22" name="Straight Arrow Connector 5">
          <a:extLst>
            <a:ext uri="{FF2B5EF4-FFF2-40B4-BE49-F238E27FC236}">
              <a16:creationId xmlns:a16="http://schemas.microsoft.com/office/drawing/2014/main" id="{7334CF8C-4D3F-4780-AF4E-8976FD202B5C}"/>
            </a:ext>
          </a:extLst>
        </xdr:cNvPr>
        <xdr:cNvCxnSpPr>
          <a:stCxn id="28" idx="1"/>
        </xdr:cNvCxnSpPr>
      </xdr:nvCxnSpPr>
      <xdr:spPr>
        <a:xfrm flipH="1" flipV="1">
          <a:off x="6354536" y="16638815"/>
          <a:ext cx="708024" cy="2671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24" name="TextBox 17">
          <a:extLst>
            <a:ext uri="{FF2B5EF4-FFF2-40B4-BE49-F238E27FC236}">
              <a16:creationId xmlns:a16="http://schemas.microsoft.com/office/drawing/2014/main" id="{B59DBD54-72C3-4C98-AB3C-D56D6A297801}"/>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21</xdr:col>
      <xdr:colOff>215356</xdr:colOff>
      <xdr:row>34</xdr:row>
      <xdr:rowOff>47262</xdr:rowOff>
    </xdr:from>
    <xdr:to>
      <xdr:col>31</xdr:col>
      <xdr:colOff>92257</xdr:colOff>
      <xdr:row>37</xdr:row>
      <xdr:rowOff>13804</xdr:rowOff>
    </xdr:to>
    <xdr:sp macro="" textlink="">
      <xdr:nvSpPr>
        <xdr:cNvPr id="16" name="Rectangle 1">
          <a:extLst>
            <a:ext uri="{FF2B5EF4-FFF2-40B4-BE49-F238E27FC236}">
              <a16:creationId xmlns:a16="http://schemas.microsoft.com/office/drawing/2014/main" id="{C2F66BA8-3FB3-4932-8013-97BB37B713F0}"/>
            </a:ext>
          </a:extLst>
        </xdr:cNvPr>
        <xdr:cNvSpPr/>
      </xdr:nvSpPr>
      <xdr:spPr>
        <a:xfrm>
          <a:off x="24842313" y="7280740"/>
          <a:ext cx="4846466" cy="50491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GB" sz="1100">
              <a:solidFill>
                <a:schemeClr val="lt1"/>
              </a:solidFill>
              <a:effectLst/>
              <a:latin typeface="+mn-lt"/>
              <a:ea typeface="+mn-ea"/>
              <a:cs typeface="+mn-cs"/>
            </a:rPr>
            <a:t>If dLUC</a:t>
          </a:r>
          <a:r>
            <a:rPr lang="en-GB" sz="1100" baseline="0">
              <a:solidFill>
                <a:schemeClr val="lt1"/>
              </a:solidFill>
              <a:effectLst/>
              <a:latin typeface="+mn-lt"/>
              <a:ea typeface="+mn-ea"/>
              <a:cs typeface="+mn-cs"/>
            </a:rPr>
            <a:t> emissions </a:t>
          </a:r>
          <a:r>
            <a:rPr lang="en-GB" sz="1100">
              <a:solidFill>
                <a:schemeClr val="lt1"/>
              </a:solidFill>
              <a:effectLst/>
              <a:latin typeface="+mn-lt"/>
              <a:ea typeface="+mn-ea"/>
              <a:cs typeface="+mn-cs"/>
            </a:rPr>
            <a:t>are unknown, see the Guidance Feedstock dLUC</a:t>
          </a:r>
          <a:r>
            <a:rPr lang="en-GB" sz="1100" baseline="0">
              <a:solidFill>
                <a:schemeClr val="lt1"/>
              </a:solidFill>
              <a:effectLst/>
              <a:latin typeface="+mn-lt"/>
              <a:ea typeface="+mn-ea"/>
              <a:cs typeface="+mn-cs"/>
            </a:rPr>
            <a:t> worksheet</a:t>
          </a:r>
          <a:r>
            <a:rPr lang="en-GB" sz="1100">
              <a:solidFill>
                <a:schemeClr val="lt1"/>
              </a:solidFill>
              <a:effectLst/>
              <a:latin typeface="+mn-lt"/>
              <a:ea typeface="+mn-ea"/>
              <a:cs typeface="+mn-cs"/>
            </a:rPr>
            <a:t> for instructions on how to calculate this</a:t>
          </a:r>
          <a:endParaRPr lang="en-GB">
            <a:effectLst/>
          </a:endParaRPr>
        </a:p>
      </xdr:txBody>
    </xdr:sp>
    <xdr:clientData/>
  </xdr:twoCellAnchor>
  <xdr:twoCellAnchor>
    <xdr:from>
      <xdr:col>11</xdr:col>
      <xdr:colOff>648805</xdr:colOff>
      <xdr:row>4</xdr:row>
      <xdr:rowOff>1173370</xdr:rowOff>
    </xdr:from>
    <xdr:to>
      <xdr:col>12</xdr:col>
      <xdr:colOff>268868</xdr:colOff>
      <xdr:row>8</xdr:row>
      <xdr:rowOff>29582</xdr:rowOff>
    </xdr:to>
    <xdr:cxnSp macro="">
      <xdr:nvCxnSpPr>
        <xdr:cNvPr id="15" name="Straight Arrow Connector 20">
          <a:extLst>
            <a:ext uri="{FF2B5EF4-FFF2-40B4-BE49-F238E27FC236}">
              <a16:creationId xmlns:a16="http://schemas.microsoft.com/office/drawing/2014/main" id="{1CCF9DE9-FA75-4636-A3B0-A83120C2C02A}"/>
            </a:ext>
          </a:extLst>
        </xdr:cNvPr>
        <xdr:cNvCxnSpPr>
          <a:cxnSpLocks/>
          <a:stCxn id="2" idx="1"/>
        </xdr:cNvCxnSpPr>
      </xdr:nvCxnSpPr>
      <xdr:spPr>
        <a:xfrm flipH="1" flipV="1">
          <a:off x="14632609" y="2332935"/>
          <a:ext cx="600172" cy="5955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952500</xdr:colOff>
      <xdr:row>7</xdr:row>
      <xdr:rowOff>86001</xdr:rowOff>
    </xdr:from>
    <xdr:to>
      <xdr:col>11</xdr:col>
      <xdr:colOff>0</xdr:colOff>
      <xdr:row>7</xdr:row>
      <xdr:rowOff>86001</xdr:rowOff>
    </xdr:to>
    <xdr:cxnSp macro="">
      <xdr:nvCxnSpPr>
        <xdr:cNvPr id="5" name="Straight Arrow Connector 4">
          <a:extLst>
            <a:ext uri="{FF2B5EF4-FFF2-40B4-BE49-F238E27FC236}">
              <a16:creationId xmlns:a16="http://schemas.microsoft.com/office/drawing/2014/main" id="{1B0C5742-F5EF-417A-9587-227322173595}"/>
            </a:ext>
          </a:extLst>
        </xdr:cNvPr>
        <xdr:cNvCxnSpPr/>
      </xdr:nvCxnSpPr>
      <xdr:spPr>
        <a:xfrm>
          <a:off x="12122524" y="2694730"/>
          <a:ext cx="956982"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937308</xdr:colOff>
      <xdr:row>19</xdr:row>
      <xdr:rowOff>108857</xdr:rowOff>
    </xdr:from>
    <xdr:to>
      <xdr:col>14</xdr:col>
      <xdr:colOff>163285</xdr:colOff>
      <xdr:row>23</xdr:row>
      <xdr:rowOff>133573</xdr:rowOff>
    </xdr:to>
    <xdr:cxnSp macro="">
      <xdr:nvCxnSpPr>
        <xdr:cNvPr id="17" name="Straight Arrow Connector 5">
          <a:extLst>
            <a:ext uri="{FF2B5EF4-FFF2-40B4-BE49-F238E27FC236}">
              <a16:creationId xmlns:a16="http://schemas.microsoft.com/office/drawing/2014/main" id="{C876CCB3-FC63-48F5-9BD4-0615D07155D2}"/>
            </a:ext>
          </a:extLst>
        </xdr:cNvPr>
        <xdr:cNvCxnSpPr>
          <a:stCxn id="10" idx="0"/>
        </xdr:cNvCxnSpPr>
      </xdr:nvCxnSpPr>
      <xdr:spPr>
        <a:xfrm flipV="1">
          <a:off x="16095665" y="4776107"/>
          <a:ext cx="518656" cy="7322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736126</xdr:colOff>
      <xdr:row>23</xdr:row>
      <xdr:rowOff>6488</xdr:rowOff>
    </xdr:from>
    <xdr:to>
      <xdr:col>16</xdr:col>
      <xdr:colOff>562369</xdr:colOff>
      <xdr:row>25</xdr:row>
      <xdr:rowOff>147866</xdr:rowOff>
    </xdr:to>
    <xdr:cxnSp macro="">
      <xdr:nvCxnSpPr>
        <xdr:cNvPr id="19" name="Straight Arrow Connector 5">
          <a:extLst>
            <a:ext uri="{FF2B5EF4-FFF2-40B4-BE49-F238E27FC236}">
              <a16:creationId xmlns:a16="http://schemas.microsoft.com/office/drawing/2014/main" id="{B56F0A9E-B067-4423-A6C4-73E97C29D93F}"/>
            </a:ext>
          </a:extLst>
        </xdr:cNvPr>
        <xdr:cNvCxnSpPr/>
      </xdr:nvCxnSpPr>
      <xdr:spPr>
        <a:xfrm flipH="1">
          <a:off x="18750800" y="5417792"/>
          <a:ext cx="1289504" cy="50029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271235</xdr:colOff>
      <xdr:row>23</xdr:row>
      <xdr:rowOff>2378</xdr:rowOff>
    </xdr:from>
    <xdr:to>
      <xdr:col>18</xdr:col>
      <xdr:colOff>572466</xdr:colOff>
      <xdr:row>25</xdr:row>
      <xdr:rowOff>151040</xdr:rowOff>
    </xdr:to>
    <xdr:cxnSp macro="">
      <xdr:nvCxnSpPr>
        <xdr:cNvPr id="6" name="Straight Arrow Connector 5">
          <a:extLst>
            <a:ext uri="{FF2B5EF4-FFF2-40B4-BE49-F238E27FC236}">
              <a16:creationId xmlns:a16="http://schemas.microsoft.com/office/drawing/2014/main" id="{BDCD8772-E195-4A80-B534-68E098D863F6}"/>
            </a:ext>
          </a:extLst>
        </xdr:cNvPr>
        <xdr:cNvCxnSpPr>
          <a:stCxn id="3" idx="2"/>
        </xdr:cNvCxnSpPr>
      </xdr:nvCxnSpPr>
      <xdr:spPr>
        <a:xfrm>
          <a:off x="21212431" y="5413682"/>
          <a:ext cx="1433187" cy="5075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141968</xdr:colOff>
      <xdr:row>23</xdr:row>
      <xdr:rowOff>129763</xdr:rowOff>
    </xdr:from>
    <xdr:to>
      <xdr:col>14</xdr:col>
      <xdr:colOff>935540</xdr:colOff>
      <xdr:row>28</xdr:row>
      <xdr:rowOff>61561</xdr:rowOff>
    </xdr:to>
    <xdr:sp macro="" textlink="">
      <xdr:nvSpPr>
        <xdr:cNvPr id="10" name="TextBox 9">
          <a:extLst>
            <a:ext uri="{FF2B5EF4-FFF2-40B4-BE49-F238E27FC236}">
              <a16:creationId xmlns:a16="http://schemas.microsoft.com/office/drawing/2014/main" id="{EF99538E-8A62-4665-9A15-5E4270030B72}"/>
            </a:ext>
          </a:extLst>
        </xdr:cNvPr>
        <xdr:cNvSpPr txBox="1"/>
      </xdr:nvSpPr>
      <xdr:spPr>
        <a:xfrm>
          <a:off x="15105881" y="5541067"/>
          <a:ext cx="2615746" cy="6496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12</xdr:col>
      <xdr:colOff>268868</xdr:colOff>
      <xdr:row>6</xdr:row>
      <xdr:rowOff>45141</xdr:rowOff>
    </xdr:from>
    <xdr:to>
      <xdr:col>14</xdr:col>
      <xdr:colOff>635177</xdr:colOff>
      <xdr:row>10</xdr:row>
      <xdr:rowOff>7672</xdr:rowOff>
    </xdr:to>
    <xdr:sp macro="" textlink="">
      <xdr:nvSpPr>
        <xdr:cNvPr id="2" name="TextBox 11">
          <a:extLst>
            <a:ext uri="{FF2B5EF4-FFF2-40B4-BE49-F238E27FC236}">
              <a16:creationId xmlns:a16="http://schemas.microsoft.com/office/drawing/2014/main" id="{072D8BDD-924A-4A5B-8828-EF9118A6E9C5}"/>
            </a:ext>
          </a:extLst>
        </xdr:cNvPr>
        <xdr:cNvSpPr txBox="1"/>
      </xdr:nvSpPr>
      <xdr:spPr>
        <a:xfrm>
          <a:off x="15232781" y="2585141"/>
          <a:ext cx="2188483" cy="68035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1131957</xdr:colOff>
      <xdr:row>19</xdr:row>
      <xdr:rowOff>82826</xdr:rowOff>
    </xdr:from>
    <xdr:to>
      <xdr:col>18</xdr:col>
      <xdr:colOff>1201903</xdr:colOff>
      <xdr:row>22</xdr:row>
      <xdr:rowOff>178659</xdr:rowOff>
    </xdr:to>
    <xdr:sp macro="" textlink="">
      <xdr:nvSpPr>
        <xdr:cNvPr id="3" name="TextBox 27">
          <a:extLst>
            <a:ext uri="{FF2B5EF4-FFF2-40B4-BE49-F238E27FC236}">
              <a16:creationId xmlns:a16="http://schemas.microsoft.com/office/drawing/2014/main" id="{6E200BA0-FC70-493F-99C2-237EA9AE9588}"/>
            </a:ext>
          </a:extLst>
        </xdr:cNvPr>
        <xdr:cNvSpPr txBox="1"/>
      </xdr:nvSpPr>
      <xdr:spPr>
        <a:xfrm>
          <a:off x="19146631" y="4776304"/>
          <a:ext cx="4128424"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4" name="TextBox 17">
          <a:extLst>
            <a:ext uri="{FF2B5EF4-FFF2-40B4-BE49-F238E27FC236}">
              <a16:creationId xmlns:a16="http://schemas.microsoft.com/office/drawing/2014/main" id="{F0C98D19-1B1A-4FEA-B585-98B222773186}"/>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579782</xdr:colOff>
      <xdr:row>20</xdr:row>
      <xdr:rowOff>13805</xdr:rowOff>
    </xdr:from>
    <xdr:to>
      <xdr:col>13</xdr:col>
      <xdr:colOff>896573</xdr:colOff>
      <xdr:row>23</xdr:row>
      <xdr:rowOff>143783</xdr:rowOff>
    </xdr:to>
    <xdr:cxnSp macro="">
      <xdr:nvCxnSpPr>
        <xdr:cNvPr id="27" name="Straight Arrow Connector 5">
          <a:extLst>
            <a:ext uri="{FF2B5EF4-FFF2-40B4-BE49-F238E27FC236}">
              <a16:creationId xmlns:a16="http://schemas.microsoft.com/office/drawing/2014/main" id="{F1B495B7-1B41-45C2-8D83-6C7141CACF1F}"/>
            </a:ext>
          </a:extLst>
        </xdr:cNvPr>
        <xdr:cNvCxnSpPr>
          <a:stCxn id="20" idx="0"/>
        </xdr:cNvCxnSpPr>
      </xdr:nvCxnSpPr>
      <xdr:spPr>
        <a:xfrm flipH="1" flipV="1">
          <a:off x="16164891" y="4872935"/>
          <a:ext cx="316791" cy="66834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30784</xdr:colOff>
      <xdr:row>7</xdr:row>
      <xdr:rowOff>96631</xdr:rowOff>
    </xdr:from>
    <xdr:to>
      <xdr:col>13</xdr:col>
      <xdr:colOff>82826</xdr:colOff>
      <xdr:row>18</xdr:row>
      <xdr:rowOff>151848</xdr:rowOff>
    </xdr:to>
    <xdr:cxnSp macro="">
      <xdr:nvCxnSpPr>
        <xdr:cNvPr id="6" name="Straight Arrow Connector 2">
          <a:extLst>
            <a:ext uri="{FF2B5EF4-FFF2-40B4-BE49-F238E27FC236}">
              <a16:creationId xmlns:a16="http://schemas.microsoft.com/office/drawing/2014/main" id="{3DE0D018-E0EE-45D9-BB59-BDAB2E59F796}"/>
            </a:ext>
          </a:extLst>
        </xdr:cNvPr>
        <xdr:cNvCxnSpPr/>
      </xdr:nvCxnSpPr>
      <xdr:spPr>
        <a:xfrm>
          <a:off x="15105132" y="2733261"/>
          <a:ext cx="562803" cy="202923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968188</xdr:colOff>
      <xdr:row>19</xdr:row>
      <xdr:rowOff>91313</xdr:rowOff>
    </xdr:from>
    <xdr:to>
      <xdr:col>12</xdr:col>
      <xdr:colOff>503687</xdr:colOff>
      <xdr:row>19</xdr:row>
      <xdr:rowOff>91313</xdr:rowOff>
    </xdr:to>
    <xdr:cxnSp macro="">
      <xdr:nvCxnSpPr>
        <xdr:cNvPr id="10" name="Straight Arrow Connector 3">
          <a:extLst>
            <a:ext uri="{FF2B5EF4-FFF2-40B4-BE49-F238E27FC236}">
              <a16:creationId xmlns:a16="http://schemas.microsoft.com/office/drawing/2014/main" id="{0EF7AF61-74C3-4290-93CE-F5BB76673431}"/>
            </a:ext>
          </a:extLst>
        </xdr:cNvPr>
        <xdr:cNvCxnSpPr/>
      </xdr:nvCxnSpPr>
      <xdr:spPr>
        <a:xfrm flipV="1">
          <a:off x="14047694" y="5219125"/>
          <a:ext cx="521617"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745437</xdr:colOff>
      <xdr:row>4</xdr:row>
      <xdr:rowOff>1169564</xdr:rowOff>
    </xdr:from>
    <xdr:to>
      <xdr:col>13</xdr:col>
      <xdr:colOff>1068774</xdr:colOff>
      <xdr:row>7</xdr:row>
      <xdr:rowOff>64790</xdr:rowOff>
    </xdr:to>
    <xdr:cxnSp macro="">
      <xdr:nvCxnSpPr>
        <xdr:cNvPr id="25" name="Straight Arrow Connector 20">
          <a:extLst>
            <a:ext uri="{FF2B5EF4-FFF2-40B4-BE49-F238E27FC236}">
              <a16:creationId xmlns:a16="http://schemas.microsoft.com/office/drawing/2014/main" id="{634A9B64-0C71-4201-9CE3-E3585CAC9E8E}"/>
            </a:ext>
          </a:extLst>
        </xdr:cNvPr>
        <xdr:cNvCxnSpPr>
          <a:cxnSpLocks/>
          <a:stCxn id="16" idx="0"/>
        </xdr:cNvCxnSpPr>
      </xdr:nvCxnSpPr>
      <xdr:spPr>
        <a:xfrm flipH="1" flipV="1">
          <a:off x="13813737" y="2217314"/>
          <a:ext cx="1818762" cy="4668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979004</xdr:colOff>
      <xdr:row>7</xdr:row>
      <xdr:rowOff>103947</xdr:rowOff>
    </xdr:from>
    <xdr:to>
      <xdr:col>10</xdr:col>
      <xdr:colOff>982179</xdr:colOff>
      <xdr:row>7</xdr:row>
      <xdr:rowOff>103947</xdr:rowOff>
    </xdr:to>
    <xdr:cxnSp macro="">
      <xdr:nvCxnSpPr>
        <xdr:cNvPr id="4" name="Straight Arrow Connector 5">
          <a:extLst>
            <a:ext uri="{FF2B5EF4-FFF2-40B4-BE49-F238E27FC236}">
              <a16:creationId xmlns:a16="http://schemas.microsoft.com/office/drawing/2014/main" id="{A776A578-24D9-436A-8FC2-D7993B83EF34}"/>
            </a:ext>
          </a:extLst>
        </xdr:cNvPr>
        <xdr:cNvCxnSpPr/>
      </xdr:nvCxnSpPr>
      <xdr:spPr>
        <a:xfrm>
          <a:off x="13113854" y="2732847"/>
          <a:ext cx="99377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904008</xdr:colOff>
      <xdr:row>24</xdr:row>
      <xdr:rowOff>165652</xdr:rowOff>
    </xdr:from>
    <xdr:to>
      <xdr:col>16</xdr:col>
      <xdr:colOff>496956</xdr:colOff>
      <xdr:row>25</xdr:row>
      <xdr:rowOff>122267</xdr:rowOff>
    </xdr:to>
    <xdr:cxnSp macro="">
      <xdr:nvCxnSpPr>
        <xdr:cNvPr id="33" name="Straight Arrow Connector 5">
          <a:extLst>
            <a:ext uri="{FF2B5EF4-FFF2-40B4-BE49-F238E27FC236}">
              <a16:creationId xmlns:a16="http://schemas.microsoft.com/office/drawing/2014/main" id="{632410FF-CAAE-4F70-BA22-58ECDF80BDC7}"/>
            </a:ext>
          </a:extLst>
        </xdr:cNvPr>
        <xdr:cNvCxnSpPr/>
      </xdr:nvCxnSpPr>
      <xdr:spPr>
        <a:xfrm flipH="1">
          <a:off x="19029117" y="5742609"/>
          <a:ext cx="1056209" cy="13607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229822</xdr:colOff>
      <xdr:row>24</xdr:row>
      <xdr:rowOff>143597</xdr:rowOff>
    </xdr:from>
    <xdr:to>
      <xdr:col>18</xdr:col>
      <xdr:colOff>769868</xdr:colOff>
      <xdr:row>26</xdr:row>
      <xdr:rowOff>0</xdr:rowOff>
    </xdr:to>
    <xdr:cxnSp macro="">
      <xdr:nvCxnSpPr>
        <xdr:cNvPr id="7" name="Straight Arrow Connector 5">
          <a:extLst>
            <a:ext uri="{FF2B5EF4-FFF2-40B4-BE49-F238E27FC236}">
              <a16:creationId xmlns:a16="http://schemas.microsoft.com/office/drawing/2014/main" id="{99029EF1-DF15-431E-96F1-616BCB3B5E17}"/>
            </a:ext>
          </a:extLst>
        </xdr:cNvPr>
        <xdr:cNvCxnSpPr>
          <a:cxnSpLocks/>
          <a:stCxn id="5" idx="2"/>
        </xdr:cNvCxnSpPr>
      </xdr:nvCxnSpPr>
      <xdr:spPr>
        <a:xfrm>
          <a:off x="21281452" y="6024249"/>
          <a:ext cx="1672003" cy="2153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242206</xdr:colOff>
      <xdr:row>23</xdr:row>
      <xdr:rowOff>146958</xdr:rowOff>
    </xdr:from>
    <xdr:to>
      <xdr:col>14</xdr:col>
      <xdr:colOff>756638</xdr:colOff>
      <xdr:row>27</xdr:row>
      <xdr:rowOff>69231</xdr:rowOff>
    </xdr:to>
    <xdr:sp macro="" textlink="">
      <xdr:nvSpPr>
        <xdr:cNvPr id="20" name="TextBox 9">
          <a:extLst>
            <a:ext uri="{FF2B5EF4-FFF2-40B4-BE49-F238E27FC236}">
              <a16:creationId xmlns:a16="http://schemas.microsoft.com/office/drawing/2014/main" id="{7C3F4767-0112-440F-BE8B-50FADB9015AE}"/>
            </a:ext>
          </a:extLst>
        </xdr:cNvPr>
        <xdr:cNvSpPr txBox="1"/>
      </xdr:nvSpPr>
      <xdr:spPr>
        <a:xfrm>
          <a:off x="15316554" y="5544458"/>
          <a:ext cx="2336606" cy="6400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16</xdr:col>
      <xdr:colOff>21356</xdr:colOff>
      <xdr:row>17</xdr:row>
      <xdr:rowOff>112586</xdr:rowOff>
    </xdr:from>
    <xdr:to>
      <xdr:col>18</xdr:col>
      <xdr:colOff>1369943</xdr:colOff>
      <xdr:row>20</xdr:row>
      <xdr:rowOff>76773</xdr:rowOff>
    </xdr:to>
    <xdr:sp macro="" textlink="">
      <xdr:nvSpPr>
        <xdr:cNvPr id="28" name="TextBox 10">
          <a:extLst>
            <a:ext uri="{FF2B5EF4-FFF2-40B4-BE49-F238E27FC236}">
              <a16:creationId xmlns:a16="http://schemas.microsoft.com/office/drawing/2014/main" id="{8E3319DE-C717-42B7-B071-32C0F867921F}"/>
            </a:ext>
          </a:extLst>
        </xdr:cNvPr>
        <xdr:cNvSpPr txBox="1"/>
      </xdr:nvSpPr>
      <xdr:spPr>
        <a:xfrm>
          <a:off x="19609726" y="4433347"/>
          <a:ext cx="3943804" cy="502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12</xdr:col>
      <xdr:colOff>496364</xdr:colOff>
      <xdr:row>7</xdr:row>
      <xdr:rowOff>64790</xdr:rowOff>
    </xdr:from>
    <xdr:to>
      <xdr:col>14</xdr:col>
      <xdr:colOff>860133</xdr:colOff>
      <xdr:row>10</xdr:row>
      <xdr:rowOff>142874</xdr:rowOff>
    </xdr:to>
    <xdr:sp macro="" textlink="">
      <xdr:nvSpPr>
        <xdr:cNvPr id="16" name="TextBox 13">
          <a:extLst>
            <a:ext uri="{FF2B5EF4-FFF2-40B4-BE49-F238E27FC236}">
              <a16:creationId xmlns:a16="http://schemas.microsoft.com/office/drawing/2014/main" id="{B8DA51E7-439C-482F-A3E9-3693CBA42C02}"/>
            </a:ext>
          </a:extLst>
        </xdr:cNvPr>
        <xdr:cNvSpPr txBox="1"/>
      </xdr:nvSpPr>
      <xdr:spPr>
        <a:xfrm>
          <a:off x="14545739" y="2684165"/>
          <a:ext cx="2173519" cy="6210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13804</xdr:colOff>
      <xdr:row>19</xdr:row>
      <xdr:rowOff>4951</xdr:rowOff>
    </xdr:from>
    <xdr:to>
      <xdr:col>16</xdr:col>
      <xdr:colOff>21356</xdr:colOff>
      <xdr:row>19</xdr:row>
      <xdr:rowOff>110434</xdr:rowOff>
    </xdr:to>
    <xdr:cxnSp macro="">
      <xdr:nvCxnSpPr>
        <xdr:cNvPr id="11" name="Straight Arrow Connector 5">
          <a:extLst>
            <a:ext uri="{FF2B5EF4-FFF2-40B4-BE49-F238E27FC236}">
              <a16:creationId xmlns:a16="http://schemas.microsoft.com/office/drawing/2014/main" id="{2B998ACC-02A5-4053-BAA9-A8D72D492ADB}"/>
            </a:ext>
          </a:extLst>
        </xdr:cNvPr>
        <xdr:cNvCxnSpPr>
          <a:stCxn id="28" idx="1"/>
        </xdr:cNvCxnSpPr>
      </xdr:nvCxnSpPr>
      <xdr:spPr>
        <a:xfrm flipH="1">
          <a:off x="18138913" y="4795060"/>
          <a:ext cx="1470813" cy="1054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1090543</xdr:colOff>
      <xdr:row>21</xdr:row>
      <xdr:rowOff>41413</xdr:rowOff>
    </xdr:from>
    <xdr:to>
      <xdr:col>18</xdr:col>
      <xdr:colOff>1160489</xdr:colOff>
      <xdr:row>24</xdr:row>
      <xdr:rowOff>140422</xdr:rowOff>
    </xdr:to>
    <xdr:sp macro="" textlink="">
      <xdr:nvSpPr>
        <xdr:cNvPr id="5" name="TextBox 27">
          <a:extLst>
            <a:ext uri="{FF2B5EF4-FFF2-40B4-BE49-F238E27FC236}">
              <a16:creationId xmlns:a16="http://schemas.microsoft.com/office/drawing/2014/main" id="{35D66E7D-95B5-4057-A22F-57258889AE2A}"/>
            </a:ext>
          </a:extLst>
        </xdr:cNvPr>
        <xdr:cNvSpPr txBox="1"/>
      </xdr:nvSpPr>
      <xdr:spPr>
        <a:xfrm>
          <a:off x="19215652" y="5383696"/>
          <a:ext cx="412842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D72263BF-AC90-498C-81D6-DAFC2AB3238E}"/>
            </a:ext>
          </a:extLst>
        </xdr:cNvPr>
        <xdr:cNvSpPr txBox="1"/>
      </xdr:nvSpPr>
      <xdr:spPr>
        <a:xfrm>
          <a:off x="286871" y="1075765"/>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676413</xdr:colOff>
      <xdr:row>20</xdr:row>
      <xdr:rowOff>82827</xdr:rowOff>
    </xdr:from>
    <xdr:to>
      <xdr:col>13</xdr:col>
      <xdr:colOff>904351</xdr:colOff>
      <xdr:row>23</xdr:row>
      <xdr:rowOff>122525</xdr:rowOff>
    </xdr:to>
    <xdr:cxnSp macro="">
      <xdr:nvCxnSpPr>
        <xdr:cNvPr id="29" name="Straight Arrow Connector 5">
          <a:extLst>
            <a:ext uri="{FF2B5EF4-FFF2-40B4-BE49-F238E27FC236}">
              <a16:creationId xmlns:a16="http://schemas.microsoft.com/office/drawing/2014/main" id="{DCB165BB-67B9-49F4-8173-B6D03B6F644B}"/>
            </a:ext>
          </a:extLst>
        </xdr:cNvPr>
        <xdr:cNvCxnSpPr/>
      </xdr:nvCxnSpPr>
      <xdr:spPr>
        <a:xfrm flipH="1" flipV="1">
          <a:off x="16068261" y="4941957"/>
          <a:ext cx="227938" cy="5780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30784</xdr:colOff>
      <xdr:row>7</xdr:row>
      <xdr:rowOff>86001</xdr:rowOff>
    </xdr:from>
    <xdr:to>
      <xdr:col>13</xdr:col>
      <xdr:colOff>124239</xdr:colOff>
      <xdr:row>19</xdr:row>
      <xdr:rowOff>27609</xdr:rowOff>
    </xdr:to>
    <xdr:cxnSp macro="">
      <xdr:nvCxnSpPr>
        <xdr:cNvPr id="27" name="Straight Arrow Connector 2">
          <a:extLst>
            <a:ext uri="{FF2B5EF4-FFF2-40B4-BE49-F238E27FC236}">
              <a16:creationId xmlns:a16="http://schemas.microsoft.com/office/drawing/2014/main" id="{F31C1B31-2E07-4CC6-ABF7-9434DF0CA604}"/>
            </a:ext>
          </a:extLst>
        </xdr:cNvPr>
        <xdr:cNvCxnSpPr/>
      </xdr:nvCxnSpPr>
      <xdr:spPr>
        <a:xfrm>
          <a:off x="14911871" y="2612197"/>
          <a:ext cx="604216" cy="2095086"/>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19</xdr:row>
      <xdr:rowOff>82826</xdr:rowOff>
    </xdr:from>
    <xdr:to>
      <xdr:col>12</xdr:col>
      <xdr:colOff>496956</xdr:colOff>
      <xdr:row>19</xdr:row>
      <xdr:rowOff>82826</xdr:rowOff>
    </xdr:to>
    <xdr:cxnSp macro="">
      <xdr:nvCxnSpPr>
        <xdr:cNvPr id="14" name="Straight Arrow Connector 3">
          <a:extLst>
            <a:ext uri="{FF2B5EF4-FFF2-40B4-BE49-F238E27FC236}">
              <a16:creationId xmlns:a16="http://schemas.microsoft.com/office/drawing/2014/main" id="{8C16B1FA-F753-4E73-954B-B7CB7DCCDE82}"/>
            </a:ext>
          </a:extLst>
        </xdr:cNvPr>
        <xdr:cNvCxnSpPr/>
      </xdr:nvCxnSpPr>
      <xdr:spPr>
        <a:xfrm flipV="1">
          <a:off x="14065624" y="5210638"/>
          <a:ext cx="496956"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855872</xdr:colOff>
      <xdr:row>5</xdr:row>
      <xdr:rowOff>53483</xdr:rowOff>
    </xdr:from>
    <xdr:to>
      <xdr:col>13</xdr:col>
      <xdr:colOff>941678</xdr:colOff>
      <xdr:row>7</xdr:row>
      <xdr:rowOff>22740</xdr:rowOff>
    </xdr:to>
    <xdr:cxnSp macro="">
      <xdr:nvCxnSpPr>
        <xdr:cNvPr id="7" name="Straight Arrow Connector 20">
          <a:extLst>
            <a:ext uri="{FF2B5EF4-FFF2-40B4-BE49-F238E27FC236}">
              <a16:creationId xmlns:a16="http://schemas.microsoft.com/office/drawing/2014/main" id="{8E46C198-0D62-4DFA-A631-6EED211CE8BD}"/>
            </a:ext>
          </a:extLst>
        </xdr:cNvPr>
        <xdr:cNvCxnSpPr>
          <a:cxnSpLocks/>
          <a:stCxn id="2" idx="0"/>
        </xdr:cNvCxnSpPr>
      </xdr:nvCxnSpPr>
      <xdr:spPr>
        <a:xfrm flipH="1" flipV="1">
          <a:off x="13924172" y="2301383"/>
          <a:ext cx="1581231" cy="34073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7</xdr:row>
      <xdr:rowOff>92821</xdr:rowOff>
    </xdr:from>
    <xdr:to>
      <xdr:col>11</xdr:col>
      <xdr:colOff>12535</xdr:colOff>
      <xdr:row>7</xdr:row>
      <xdr:rowOff>92821</xdr:rowOff>
    </xdr:to>
    <xdr:cxnSp macro="">
      <xdr:nvCxnSpPr>
        <xdr:cNvPr id="33" name="Straight Arrow Connector 5">
          <a:extLst>
            <a:ext uri="{FF2B5EF4-FFF2-40B4-BE49-F238E27FC236}">
              <a16:creationId xmlns:a16="http://schemas.microsoft.com/office/drawing/2014/main" id="{293605DB-7F61-44FC-A6D8-7B98B54BAC1C}"/>
            </a:ext>
          </a:extLst>
        </xdr:cNvPr>
        <xdr:cNvCxnSpPr/>
      </xdr:nvCxnSpPr>
      <xdr:spPr>
        <a:xfrm flipV="1">
          <a:off x="12672391" y="2839886"/>
          <a:ext cx="97884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959226</xdr:colOff>
      <xdr:row>24</xdr:row>
      <xdr:rowOff>136050</xdr:rowOff>
    </xdr:from>
    <xdr:to>
      <xdr:col>16</xdr:col>
      <xdr:colOff>472503</xdr:colOff>
      <xdr:row>25</xdr:row>
      <xdr:rowOff>174309</xdr:rowOff>
    </xdr:to>
    <xdr:cxnSp macro="">
      <xdr:nvCxnSpPr>
        <xdr:cNvPr id="25" name="Straight Arrow Connector 5">
          <a:extLst>
            <a:ext uri="{FF2B5EF4-FFF2-40B4-BE49-F238E27FC236}">
              <a16:creationId xmlns:a16="http://schemas.microsoft.com/office/drawing/2014/main" id="{AFA4FE81-0FFD-43AA-AC54-42114CB9B7BB}"/>
            </a:ext>
          </a:extLst>
        </xdr:cNvPr>
        <xdr:cNvCxnSpPr/>
      </xdr:nvCxnSpPr>
      <xdr:spPr>
        <a:xfrm flipH="1">
          <a:off x="18891074" y="5713007"/>
          <a:ext cx="976538" cy="21771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240451</xdr:colOff>
      <xdr:row>24</xdr:row>
      <xdr:rowOff>126617</xdr:rowOff>
    </xdr:from>
    <xdr:to>
      <xdr:col>18</xdr:col>
      <xdr:colOff>466173</xdr:colOff>
      <xdr:row>25</xdr:row>
      <xdr:rowOff>121064</xdr:rowOff>
    </xdr:to>
    <xdr:cxnSp macro="">
      <xdr:nvCxnSpPr>
        <xdr:cNvPr id="9" name="Straight Arrow Connector 5">
          <a:extLst>
            <a:ext uri="{FF2B5EF4-FFF2-40B4-BE49-F238E27FC236}">
              <a16:creationId xmlns:a16="http://schemas.microsoft.com/office/drawing/2014/main" id="{609782C4-7697-4FAC-B5A5-F1FDA84EA48E}"/>
            </a:ext>
          </a:extLst>
        </xdr:cNvPr>
        <xdr:cNvCxnSpPr>
          <a:cxnSpLocks/>
          <a:stCxn id="5" idx="2"/>
        </xdr:cNvCxnSpPr>
      </xdr:nvCxnSpPr>
      <xdr:spPr>
        <a:xfrm>
          <a:off x="21098821" y="6090095"/>
          <a:ext cx="1357678" cy="17390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303773</xdr:colOff>
      <xdr:row>23</xdr:row>
      <xdr:rowOff>133153</xdr:rowOff>
    </xdr:from>
    <xdr:to>
      <xdr:col>14</xdr:col>
      <xdr:colOff>818205</xdr:colOff>
      <xdr:row>27</xdr:row>
      <xdr:rowOff>55426</xdr:rowOff>
    </xdr:to>
    <xdr:sp macro="" textlink="">
      <xdr:nvSpPr>
        <xdr:cNvPr id="26" name="TextBox 9">
          <a:extLst>
            <a:ext uri="{FF2B5EF4-FFF2-40B4-BE49-F238E27FC236}">
              <a16:creationId xmlns:a16="http://schemas.microsoft.com/office/drawing/2014/main" id="{93C006A5-76B0-44E1-AFDB-E91ACCFF7881}"/>
            </a:ext>
          </a:extLst>
        </xdr:cNvPr>
        <xdr:cNvSpPr txBox="1"/>
      </xdr:nvSpPr>
      <xdr:spPr>
        <a:xfrm>
          <a:off x="15184860" y="5530653"/>
          <a:ext cx="2336606" cy="6400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459919</xdr:colOff>
      <xdr:row>17</xdr:row>
      <xdr:rowOff>112585</xdr:rowOff>
    </xdr:from>
    <xdr:to>
      <xdr:col>18</xdr:col>
      <xdr:colOff>354770</xdr:colOff>
      <xdr:row>20</xdr:row>
      <xdr:rowOff>76772</xdr:rowOff>
    </xdr:to>
    <xdr:sp macro="" textlink="">
      <xdr:nvSpPr>
        <xdr:cNvPr id="22" name="TextBox 10">
          <a:extLst>
            <a:ext uri="{FF2B5EF4-FFF2-40B4-BE49-F238E27FC236}">
              <a16:creationId xmlns:a16="http://schemas.microsoft.com/office/drawing/2014/main" id="{E3696431-E8C7-4616-B7F9-64584AD84BA8}"/>
            </a:ext>
          </a:extLst>
        </xdr:cNvPr>
        <xdr:cNvSpPr txBox="1"/>
      </xdr:nvSpPr>
      <xdr:spPr>
        <a:xfrm>
          <a:off x="18391767" y="4433346"/>
          <a:ext cx="3953329" cy="502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12</xdr:col>
      <xdr:colOff>365141</xdr:colOff>
      <xdr:row>7</xdr:row>
      <xdr:rowOff>22740</xdr:rowOff>
    </xdr:from>
    <xdr:to>
      <xdr:col>14</xdr:col>
      <xdr:colOff>737165</xdr:colOff>
      <xdr:row>10</xdr:row>
      <xdr:rowOff>123824</xdr:rowOff>
    </xdr:to>
    <xdr:sp macro="" textlink="">
      <xdr:nvSpPr>
        <xdr:cNvPr id="2" name="TextBox 13">
          <a:extLst>
            <a:ext uri="{FF2B5EF4-FFF2-40B4-BE49-F238E27FC236}">
              <a16:creationId xmlns:a16="http://schemas.microsoft.com/office/drawing/2014/main" id="{BD9CFE43-DC61-408A-BE44-1051E47B23A6}"/>
            </a:ext>
          </a:extLst>
        </xdr:cNvPr>
        <xdr:cNvSpPr txBox="1"/>
      </xdr:nvSpPr>
      <xdr:spPr>
        <a:xfrm>
          <a:off x="14414516" y="2642115"/>
          <a:ext cx="2181774" cy="6440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27609</xdr:colOff>
      <xdr:row>19</xdr:row>
      <xdr:rowOff>4950</xdr:rowOff>
    </xdr:from>
    <xdr:to>
      <xdr:col>15</xdr:col>
      <xdr:colOff>459919</xdr:colOff>
      <xdr:row>19</xdr:row>
      <xdr:rowOff>69022</xdr:rowOff>
    </xdr:to>
    <xdr:cxnSp macro="">
      <xdr:nvCxnSpPr>
        <xdr:cNvPr id="8" name="Straight Arrow Connector 5">
          <a:extLst>
            <a:ext uri="{FF2B5EF4-FFF2-40B4-BE49-F238E27FC236}">
              <a16:creationId xmlns:a16="http://schemas.microsoft.com/office/drawing/2014/main" id="{FC2CC573-FA54-4FEC-A4E2-44B0742F2BBB}"/>
            </a:ext>
          </a:extLst>
        </xdr:cNvPr>
        <xdr:cNvCxnSpPr>
          <a:stCxn id="22" idx="1"/>
        </xdr:cNvCxnSpPr>
      </xdr:nvCxnSpPr>
      <xdr:spPr>
        <a:xfrm flipH="1">
          <a:off x="17959457" y="4684624"/>
          <a:ext cx="432310" cy="640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1104348</xdr:colOff>
      <xdr:row>21</xdr:row>
      <xdr:rowOff>27608</xdr:rowOff>
    </xdr:from>
    <xdr:to>
      <xdr:col>18</xdr:col>
      <xdr:colOff>1174294</xdr:colOff>
      <xdr:row>24</xdr:row>
      <xdr:rowOff>123442</xdr:rowOff>
    </xdr:to>
    <xdr:sp macro="" textlink="">
      <xdr:nvSpPr>
        <xdr:cNvPr id="5" name="TextBox 27">
          <a:extLst>
            <a:ext uri="{FF2B5EF4-FFF2-40B4-BE49-F238E27FC236}">
              <a16:creationId xmlns:a16="http://schemas.microsoft.com/office/drawing/2014/main" id="{9A04959F-062B-4318-947D-0468E1D4E367}"/>
            </a:ext>
          </a:extLst>
        </xdr:cNvPr>
        <xdr:cNvSpPr txBox="1"/>
      </xdr:nvSpPr>
      <xdr:spPr>
        <a:xfrm>
          <a:off x="19036196" y="5452717"/>
          <a:ext cx="4128424"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57B5C8B7-5A7A-4269-8B9D-BDE02F2FFFD2}"/>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663865</xdr:colOff>
      <xdr:row>20</xdr:row>
      <xdr:rowOff>49648</xdr:rowOff>
    </xdr:from>
    <xdr:to>
      <xdr:col>13</xdr:col>
      <xdr:colOff>951227</xdr:colOff>
      <xdr:row>23</xdr:row>
      <xdr:rowOff>132526</xdr:rowOff>
    </xdr:to>
    <xdr:cxnSp macro="">
      <xdr:nvCxnSpPr>
        <xdr:cNvPr id="14" name="Straight Arrow Connector 5">
          <a:extLst>
            <a:ext uri="{FF2B5EF4-FFF2-40B4-BE49-F238E27FC236}">
              <a16:creationId xmlns:a16="http://schemas.microsoft.com/office/drawing/2014/main" id="{CF0FA139-D978-4324-BACA-2AB4772E4AAF}"/>
            </a:ext>
          </a:extLst>
        </xdr:cNvPr>
        <xdr:cNvCxnSpPr>
          <a:stCxn id="23" idx="0"/>
        </xdr:cNvCxnSpPr>
      </xdr:nvCxnSpPr>
      <xdr:spPr>
        <a:xfrm flipH="1" flipV="1">
          <a:off x="16434544" y="5261184"/>
          <a:ext cx="287362" cy="61355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39832</xdr:colOff>
      <xdr:row>7</xdr:row>
      <xdr:rowOff>96405</xdr:rowOff>
    </xdr:from>
    <xdr:to>
      <xdr:col>13</xdr:col>
      <xdr:colOff>83128</xdr:colOff>
      <xdr:row>18</xdr:row>
      <xdr:rowOff>154132</xdr:rowOff>
    </xdr:to>
    <xdr:cxnSp macro="">
      <xdr:nvCxnSpPr>
        <xdr:cNvPr id="8" name="Straight Arrow Connector 2">
          <a:extLst>
            <a:ext uri="{FF2B5EF4-FFF2-40B4-BE49-F238E27FC236}">
              <a16:creationId xmlns:a16="http://schemas.microsoft.com/office/drawing/2014/main" id="{07A6643D-C385-4CE8-8989-B18C762C3DA0}"/>
            </a:ext>
          </a:extLst>
        </xdr:cNvPr>
        <xdr:cNvCxnSpPr/>
      </xdr:nvCxnSpPr>
      <xdr:spPr>
        <a:xfrm>
          <a:off x="15279832" y="2811030"/>
          <a:ext cx="548121" cy="223895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963757</xdr:colOff>
      <xdr:row>19</xdr:row>
      <xdr:rowOff>72159</xdr:rowOff>
    </xdr:from>
    <xdr:to>
      <xdr:col>13</xdr:col>
      <xdr:colOff>14432</xdr:colOff>
      <xdr:row>19</xdr:row>
      <xdr:rowOff>72159</xdr:rowOff>
    </xdr:to>
    <xdr:cxnSp macro="">
      <xdr:nvCxnSpPr>
        <xdr:cNvPr id="9" name="Straight Arrow Connector 3">
          <a:extLst>
            <a:ext uri="{FF2B5EF4-FFF2-40B4-BE49-F238E27FC236}">
              <a16:creationId xmlns:a16="http://schemas.microsoft.com/office/drawing/2014/main" id="{30ABB887-E522-48AB-92D3-12D353A573E7}"/>
            </a:ext>
          </a:extLst>
        </xdr:cNvPr>
        <xdr:cNvCxnSpPr/>
      </xdr:nvCxnSpPr>
      <xdr:spPr>
        <a:xfrm flipV="1">
          <a:off x="14043263" y="5199971"/>
          <a:ext cx="547781"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936646</xdr:colOff>
      <xdr:row>4</xdr:row>
      <xdr:rowOff>1164502</xdr:rowOff>
    </xdr:from>
    <xdr:to>
      <xdr:col>13</xdr:col>
      <xdr:colOff>987165</xdr:colOff>
      <xdr:row>7</xdr:row>
      <xdr:rowOff>49035</xdr:rowOff>
    </xdr:to>
    <xdr:cxnSp macro="">
      <xdr:nvCxnSpPr>
        <xdr:cNvPr id="5" name="Straight Arrow Connector 20">
          <a:extLst>
            <a:ext uri="{FF2B5EF4-FFF2-40B4-BE49-F238E27FC236}">
              <a16:creationId xmlns:a16="http://schemas.microsoft.com/office/drawing/2014/main" id="{23430022-18E6-4F3E-9281-D4E29124D3A1}"/>
            </a:ext>
          </a:extLst>
        </xdr:cNvPr>
        <xdr:cNvCxnSpPr>
          <a:cxnSpLocks/>
          <a:stCxn id="16" idx="0"/>
        </xdr:cNvCxnSpPr>
      </xdr:nvCxnSpPr>
      <xdr:spPr>
        <a:xfrm flipH="1" flipV="1">
          <a:off x="13052446" y="2212252"/>
          <a:ext cx="2498444" cy="45615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9813</xdr:colOff>
      <xdr:row>7</xdr:row>
      <xdr:rowOff>54841</xdr:rowOff>
    </xdr:from>
    <xdr:to>
      <xdr:col>10</xdr:col>
      <xdr:colOff>948690</xdr:colOff>
      <xdr:row>7</xdr:row>
      <xdr:rowOff>54841</xdr:rowOff>
    </xdr:to>
    <xdr:cxnSp macro="">
      <xdr:nvCxnSpPr>
        <xdr:cNvPr id="10" name="Straight Arrow Connector 5">
          <a:extLst>
            <a:ext uri="{FF2B5EF4-FFF2-40B4-BE49-F238E27FC236}">
              <a16:creationId xmlns:a16="http://schemas.microsoft.com/office/drawing/2014/main" id="{38DD559C-BD95-4763-8FAD-600F1EDE2FFC}"/>
            </a:ext>
          </a:extLst>
        </xdr:cNvPr>
        <xdr:cNvCxnSpPr/>
      </xdr:nvCxnSpPr>
      <xdr:spPr>
        <a:xfrm flipV="1">
          <a:off x="12139060" y="2663570"/>
          <a:ext cx="938877"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895186</xdr:colOff>
      <xdr:row>24</xdr:row>
      <xdr:rowOff>109146</xdr:rowOff>
    </xdr:from>
    <xdr:to>
      <xdr:col>16</xdr:col>
      <xdr:colOff>414111</xdr:colOff>
      <xdr:row>25</xdr:row>
      <xdr:rowOff>136072</xdr:rowOff>
    </xdr:to>
    <xdr:cxnSp macro="">
      <xdr:nvCxnSpPr>
        <xdr:cNvPr id="28" name="Straight Arrow Connector 5">
          <a:extLst>
            <a:ext uri="{FF2B5EF4-FFF2-40B4-BE49-F238E27FC236}">
              <a16:creationId xmlns:a16="http://schemas.microsoft.com/office/drawing/2014/main" id="{09220E2D-C487-4C39-B071-5D04488D7DE5}"/>
            </a:ext>
          </a:extLst>
        </xdr:cNvPr>
        <xdr:cNvCxnSpPr/>
      </xdr:nvCxnSpPr>
      <xdr:spPr>
        <a:xfrm flipH="1">
          <a:off x="18949391" y="5809714"/>
          <a:ext cx="976538" cy="2145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175231</xdr:colOff>
      <xdr:row>24</xdr:row>
      <xdr:rowOff>85794</xdr:rowOff>
    </xdr:from>
    <xdr:to>
      <xdr:col>18</xdr:col>
      <xdr:colOff>545235</xdr:colOff>
      <xdr:row>25</xdr:row>
      <xdr:rowOff>141143</xdr:rowOff>
    </xdr:to>
    <xdr:cxnSp macro="">
      <xdr:nvCxnSpPr>
        <xdr:cNvPr id="7" name="Straight Arrow Connector 5">
          <a:extLst>
            <a:ext uri="{FF2B5EF4-FFF2-40B4-BE49-F238E27FC236}">
              <a16:creationId xmlns:a16="http://schemas.microsoft.com/office/drawing/2014/main" id="{E19AD6BA-F9FE-41D1-8401-D2A38F97446F}"/>
            </a:ext>
          </a:extLst>
        </xdr:cNvPr>
        <xdr:cNvCxnSpPr>
          <a:cxnSpLocks/>
          <a:stCxn id="4" idx="2"/>
        </xdr:cNvCxnSpPr>
      </xdr:nvCxnSpPr>
      <xdr:spPr>
        <a:xfrm>
          <a:off x="21390004" y="6176021"/>
          <a:ext cx="1510117" cy="24296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275977</xdr:colOff>
      <xdr:row>23</xdr:row>
      <xdr:rowOff>132526</xdr:rowOff>
    </xdr:from>
    <xdr:to>
      <xdr:col>14</xdr:col>
      <xdr:colOff>810049</xdr:colOff>
      <xdr:row>27</xdr:row>
      <xdr:rowOff>68036</xdr:rowOff>
    </xdr:to>
    <xdr:sp macro="" textlink="">
      <xdr:nvSpPr>
        <xdr:cNvPr id="23" name="TextBox 9">
          <a:extLst>
            <a:ext uri="{FF2B5EF4-FFF2-40B4-BE49-F238E27FC236}">
              <a16:creationId xmlns:a16="http://schemas.microsoft.com/office/drawing/2014/main" id="{75437C1C-2247-4C6C-9214-76F0F1EAE620}"/>
            </a:ext>
          </a:extLst>
        </xdr:cNvPr>
        <xdr:cNvSpPr txBox="1"/>
      </xdr:nvSpPr>
      <xdr:spPr>
        <a:xfrm>
          <a:off x="15543191" y="5874740"/>
          <a:ext cx="2357429" cy="6430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468000</xdr:colOff>
      <xdr:row>17</xdr:row>
      <xdr:rowOff>123291</xdr:rowOff>
    </xdr:from>
    <xdr:to>
      <xdr:col>18</xdr:col>
      <xdr:colOff>372339</xdr:colOff>
      <xdr:row>20</xdr:row>
      <xdr:rowOff>50306</xdr:rowOff>
    </xdr:to>
    <xdr:sp macro="" textlink="">
      <xdr:nvSpPr>
        <xdr:cNvPr id="25" name="TextBox 10">
          <a:extLst>
            <a:ext uri="{FF2B5EF4-FFF2-40B4-BE49-F238E27FC236}">
              <a16:creationId xmlns:a16="http://schemas.microsoft.com/office/drawing/2014/main" id="{F1E67844-AA88-40D2-B6D2-8B427549E073}"/>
            </a:ext>
          </a:extLst>
        </xdr:cNvPr>
        <xdr:cNvSpPr txBox="1"/>
      </xdr:nvSpPr>
      <xdr:spPr>
        <a:xfrm>
          <a:off x="18522205" y="4510564"/>
          <a:ext cx="395967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12</xdr:col>
      <xdr:colOff>402713</xdr:colOff>
      <xdr:row>7</xdr:row>
      <xdr:rowOff>49035</xdr:rowOff>
    </xdr:from>
    <xdr:to>
      <xdr:col>14</xdr:col>
      <xdr:colOff>790567</xdr:colOff>
      <xdr:row>10</xdr:row>
      <xdr:rowOff>114299</xdr:rowOff>
    </xdr:to>
    <xdr:sp macro="" textlink="">
      <xdr:nvSpPr>
        <xdr:cNvPr id="16" name="TextBox 13">
          <a:extLst>
            <a:ext uri="{FF2B5EF4-FFF2-40B4-BE49-F238E27FC236}">
              <a16:creationId xmlns:a16="http://schemas.microsoft.com/office/drawing/2014/main" id="{26919858-F84F-4FFA-B37B-019DD30F52B3}"/>
            </a:ext>
          </a:extLst>
        </xdr:cNvPr>
        <xdr:cNvSpPr txBox="1"/>
      </xdr:nvSpPr>
      <xdr:spPr>
        <a:xfrm>
          <a:off x="14452088" y="2668410"/>
          <a:ext cx="2197604" cy="6081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0</xdr:colOff>
      <xdr:row>18</xdr:row>
      <xdr:rowOff>180606</xdr:rowOff>
    </xdr:from>
    <xdr:to>
      <xdr:col>15</xdr:col>
      <xdr:colOff>464825</xdr:colOff>
      <xdr:row>19</xdr:row>
      <xdr:rowOff>101023</xdr:rowOff>
    </xdr:to>
    <xdr:cxnSp macro="">
      <xdr:nvCxnSpPr>
        <xdr:cNvPr id="17" name="Straight Arrow Connector 5">
          <a:extLst>
            <a:ext uri="{FF2B5EF4-FFF2-40B4-BE49-F238E27FC236}">
              <a16:creationId xmlns:a16="http://schemas.microsoft.com/office/drawing/2014/main" id="{94DDD407-E865-4212-9DB5-65CD8B601FA2}"/>
            </a:ext>
          </a:extLst>
        </xdr:cNvPr>
        <xdr:cNvCxnSpPr>
          <a:stCxn id="25" idx="1"/>
        </xdr:cNvCxnSpPr>
      </xdr:nvCxnSpPr>
      <xdr:spPr>
        <a:xfrm flipH="1">
          <a:off x="18299545" y="4755492"/>
          <a:ext cx="464825" cy="10803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1024659</xdr:colOff>
      <xdr:row>21</xdr:row>
      <xdr:rowOff>14432</xdr:rowOff>
    </xdr:from>
    <xdr:to>
      <xdr:col>18</xdr:col>
      <xdr:colOff>1104092</xdr:colOff>
      <xdr:row>24</xdr:row>
      <xdr:rowOff>82619</xdr:rowOff>
    </xdr:to>
    <xdr:sp macro="" textlink="">
      <xdr:nvSpPr>
        <xdr:cNvPr id="4" name="TextBox 27">
          <a:extLst>
            <a:ext uri="{FF2B5EF4-FFF2-40B4-BE49-F238E27FC236}">
              <a16:creationId xmlns:a16="http://schemas.microsoft.com/office/drawing/2014/main" id="{B1137DE0-86D5-46CC-AB8C-F415D9212D78}"/>
            </a:ext>
          </a:extLst>
        </xdr:cNvPr>
        <xdr:cNvSpPr txBox="1"/>
      </xdr:nvSpPr>
      <xdr:spPr>
        <a:xfrm>
          <a:off x="19324204" y="5541818"/>
          <a:ext cx="413477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6CBDC8FC-A1E9-4BD5-83AF-BA34777A94E7}"/>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682625</xdr:colOff>
      <xdr:row>20</xdr:row>
      <xdr:rowOff>79375</xdr:rowOff>
    </xdr:from>
    <xdr:to>
      <xdr:col>13</xdr:col>
      <xdr:colOff>1089384</xdr:colOff>
      <xdr:row>24</xdr:row>
      <xdr:rowOff>60598</xdr:rowOff>
    </xdr:to>
    <xdr:cxnSp macro="">
      <xdr:nvCxnSpPr>
        <xdr:cNvPr id="20" name="Straight Arrow Connector 5">
          <a:extLst>
            <a:ext uri="{FF2B5EF4-FFF2-40B4-BE49-F238E27FC236}">
              <a16:creationId xmlns:a16="http://schemas.microsoft.com/office/drawing/2014/main" id="{5EAF1738-0EE8-4FC6-BB19-1231F218DD05}"/>
            </a:ext>
          </a:extLst>
        </xdr:cNvPr>
        <xdr:cNvCxnSpPr>
          <a:stCxn id="10" idx="0"/>
        </xdr:cNvCxnSpPr>
      </xdr:nvCxnSpPr>
      <xdr:spPr>
        <a:xfrm flipH="1" flipV="1">
          <a:off x="15246350" y="5051425"/>
          <a:ext cx="406759" cy="70512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28241</xdr:colOff>
      <xdr:row>7</xdr:row>
      <xdr:rowOff>112796</xdr:rowOff>
    </xdr:from>
    <xdr:to>
      <xdr:col>13</xdr:col>
      <xdr:colOff>0</xdr:colOff>
      <xdr:row>19</xdr:row>
      <xdr:rowOff>0</xdr:rowOff>
    </xdr:to>
    <xdr:cxnSp macro="">
      <xdr:nvCxnSpPr>
        <xdr:cNvPr id="29" name="Straight Arrow Connector 2">
          <a:extLst>
            <a:ext uri="{FF2B5EF4-FFF2-40B4-BE49-F238E27FC236}">
              <a16:creationId xmlns:a16="http://schemas.microsoft.com/office/drawing/2014/main" id="{2F2DB94A-D9A1-4C26-8235-6D7A7C703356}"/>
            </a:ext>
          </a:extLst>
        </xdr:cNvPr>
        <xdr:cNvCxnSpPr/>
      </xdr:nvCxnSpPr>
      <xdr:spPr>
        <a:xfrm>
          <a:off x="15180511" y="2606842"/>
          <a:ext cx="473075" cy="19927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19</xdr:row>
      <xdr:rowOff>75198</xdr:rowOff>
    </xdr:from>
    <xdr:to>
      <xdr:col>13</xdr:col>
      <xdr:colOff>0</xdr:colOff>
      <xdr:row>19</xdr:row>
      <xdr:rowOff>75198</xdr:rowOff>
    </xdr:to>
    <xdr:cxnSp macro="">
      <xdr:nvCxnSpPr>
        <xdr:cNvPr id="26" name="Straight Arrow Connector 3">
          <a:extLst>
            <a:ext uri="{FF2B5EF4-FFF2-40B4-BE49-F238E27FC236}">
              <a16:creationId xmlns:a16="http://schemas.microsoft.com/office/drawing/2014/main" id="{4EC95B64-123F-484A-9866-26F238A12A7B}"/>
            </a:ext>
          </a:extLst>
        </xdr:cNvPr>
        <xdr:cNvCxnSpPr/>
      </xdr:nvCxnSpPr>
      <xdr:spPr>
        <a:xfrm>
          <a:off x="15152270" y="4674770"/>
          <a:ext cx="501316"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817411</xdr:colOff>
      <xdr:row>4</xdr:row>
      <xdr:rowOff>1164505</xdr:rowOff>
    </xdr:from>
    <xdr:to>
      <xdr:col>13</xdr:col>
      <xdr:colOff>980791</xdr:colOff>
      <xdr:row>7</xdr:row>
      <xdr:rowOff>38243</xdr:rowOff>
    </xdr:to>
    <xdr:cxnSp macro="">
      <xdr:nvCxnSpPr>
        <xdr:cNvPr id="5" name="Straight Arrow Connector 20">
          <a:extLst>
            <a:ext uri="{FF2B5EF4-FFF2-40B4-BE49-F238E27FC236}">
              <a16:creationId xmlns:a16="http://schemas.microsoft.com/office/drawing/2014/main" id="{2B539C9C-BDCC-4007-84E8-5E9C34E594C7}"/>
            </a:ext>
          </a:extLst>
        </xdr:cNvPr>
        <xdr:cNvCxnSpPr>
          <a:cxnSpLocks/>
          <a:stCxn id="17" idx="0"/>
        </xdr:cNvCxnSpPr>
      </xdr:nvCxnSpPr>
      <xdr:spPr>
        <a:xfrm flipH="1" flipV="1">
          <a:off x="13885711" y="2212255"/>
          <a:ext cx="1658805" cy="44536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956945</xdr:colOff>
      <xdr:row>7</xdr:row>
      <xdr:rowOff>59490</xdr:rowOff>
    </xdr:from>
    <xdr:to>
      <xdr:col>11</xdr:col>
      <xdr:colOff>28241</xdr:colOff>
      <xdr:row>7</xdr:row>
      <xdr:rowOff>59490</xdr:rowOff>
    </xdr:to>
    <xdr:cxnSp macro="">
      <xdr:nvCxnSpPr>
        <xdr:cNvPr id="51" name="Straight Arrow Connector 5">
          <a:extLst>
            <a:ext uri="{FF2B5EF4-FFF2-40B4-BE49-F238E27FC236}">
              <a16:creationId xmlns:a16="http://schemas.microsoft.com/office/drawing/2014/main" id="{C05A1F44-D669-4DD5-8E9A-CA3C57F1E852}"/>
            </a:ext>
          </a:extLst>
        </xdr:cNvPr>
        <xdr:cNvCxnSpPr/>
      </xdr:nvCxnSpPr>
      <xdr:spPr>
        <a:xfrm flipV="1">
          <a:off x="12126969" y="2668219"/>
          <a:ext cx="980778"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1016000</xdr:colOff>
      <xdr:row>24</xdr:row>
      <xdr:rowOff>159657</xdr:rowOff>
    </xdr:from>
    <xdr:to>
      <xdr:col>16</xdr:col>
      <xdr:colOff>562502</xdr:colOff>
      <xdr:row>25</xdr:row>
      <xdr:rowOff>111125</xdr:rowOff>
    </xdr:to>
    <xdr:cxnSp macro="">
      <xdr:nvCxnSpPr>
        <xdr:cNvPr id="16" name="Straight Arrow Connector 5">
          <a:extLst>
            <a:ext uri="{FF2B5EF4-FFF2-40B4-BE49-F238E27FC236}">
              <a16:creationId xmlns:a16="http://schemas.microsoft.com/office/drawing/2014/main" id="{29F1560E-DFA8-40DB-BBD5-A2E0F0CC2A7C}"/>
            </a:ext>
          </a:extLst>
        </xdr:cNvPr>
        <xdr:cNvCxnSpPr/>
      </xdr:nvCxnSpPr>
      <xdr:spPr>
        <a:xfrm flipH="1">
          <a:off x="18224500" y="5636532"/>
          <a:ext cx="1007002" cy="12609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323728</xdr:colOff>
      <xdr:row>24</xdr:row>
      <xdr:rowOff>154778</xdr:rowOff>
    </xdr:from>
    <xdr:to>
      <xdr:col>18</xdr:col>
      <xdr:colOff>791052</xdr:colOff>
      <xdr:row>25</xdr:row>
      <xdr:rowOff>161089</xdr:rowOff>
    </xdr:to>
    <xdr:cxnSp macro="">
      <xdr:nvCxnSpPr>
        <xdr:cNvPr id="6" name="Straight Arrow Connector 5">
          <a:extLst>
            <a:ext uri="{FF2B5EF4-FFF2-40B4-BE49-F238E27FC236}">
              <a16:creationId xmlns:a16="http://schemas.microsoft.com/office/drawing/2014/main" id="{BA345911-4BB4-4CB2-9673-4F64EFA24609}"/>
            </a:ext>
          </a:extLst>
        </xdr:cNvPr>
        <xdr:cNvCxnSpPr>
          <a:cxnSpLocks/>
          <a:stCxn id="4" idx="2"/>
        </xdr:cNvCxnSpPr>
      </xdr:nvCxnSpPr>
      <xdr:spPr>
        <a:xfrm>
          <a:off x="21429123" y="6032706"/>
          <a:ext cx="1595284" cy="18177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434746</xdr:colOff>
      <xdr:row>24</xdr:row>
      <xdr:rowOff>60598</xdr:rowOff>
    </xdr:from>
    <xdr:to>
      <xdr:col>14</xdr:col>
      <xdr:colOff>962972</xdr:colOff>
      <xdr:row>27</xdr:row>
      <xdr:rowOff>142875</xdr:rowOff>
    </xdr:to>
    <xdr:sp macro="" textlink="">
      <xdr:nvSpPr>
        <xdr:cNvPr id="10" name="TextBox 9">
          <a:extLst>
            <a:ext uri="{FF2B5EF4-FFF2-40B4-BE49-F238E27FC236}">
              <a16:creationId xmlns:a16="http://schemas.microsoft.com/office/drawing/2014/main" id="{A99D5638-8EB2-476C-B5A7-F237E83209E8}"/>
            </a:ext>
          </a:extLst>
        </xdr:cNvPr>
        <xdr:cNvSpPr txBox="1"/>
      </xdr:nvSpPr>
      <xdr:spPr>
        <a:xfrm>
          <a:off x="14484121" y="5756548"/>
          <a:ext cx="2337976" cy="6252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465100</xdr:colOff>
      <xdr:row>17</xdr:row>
      <xdr:rowOff>146458</xdr:rowOff>
    </xdr:from>
    <xdr:to>
      <xdr:col>18</xdr:col>
      <xdr:colOff>386012</xdr:colOff>
      <xdr:row>20</xdr:row>
      <xdr:rowOff>116282</xdr:rowOff>
    </xdr:to>
    <xdr:sp macro="" textlink="">
      <xdr:nvSpPr>
        <xdr:cNvPr id="11" name="TextBox 10">
          <a:extLst>
            <a:ext uri="{FF2B5EF4-FFF2-40B4-BE49-F238E27FC236}">
              <a16:creationId xmlns:a16="http://schemas.microsoft.com/office/drawing/2014/main" id="{56654CE2-2892-4240-8EBC-83939A493F60}"/>
            </a:ext>
          </a:extLst>
        </xdr:cNvPr>
        <xdr:cNvSpPr txBox="1"/>
      </xdr:nvSpPr>
      <xdr:spPr>
        <a:xfrm>
          <a:off x="17647699" y="4395109"/>
          <a:ext cx="3956504" cy="49620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12</xdr:col>
      <xdr:colOff>403239</xdr:colOff>
      <xdr:row>7</xdr:row>
      <xdr:rowOff>38243</xdr:rowOff>
    </xdr:from>
    <xdr:to>
      <xdr:col>14</xdr:col>
      <xdr:colOff>777293</xdr:colOff>
      <xdr:row>10</xdr:row>
      <xdr:rowOff>123825</xdr:rowOff>
    </xdr:to>
    <xdr:sp macro="" textlink="">
      <xdr:nvSpPr>
        <xdr:cNvPr id="17" name="TextBox 13">
          <a:extLst>
            <a:ext uri="{FF2B5EF4-FFF2-40B4-BE49-F238E27FC236}">
              <a16:creationId xmlns:a16="http://schemas.microsoft.com/office/drawing/2014/main" id="{3F5AEABF-AA93-4B7A-A6C7-56BE27B6BC1B}"/>
            </a:ext>
          </a:extLst>
        </xdr:cNvPr>
        <xdr:cNvSpPr txBox="1"/>
      </xdr:nvSpPr>
      <xdr:spPr>
        <a:xfrm>
          <a:off x="14452614" y="2657618"/>
          <a:ext cx="2183804" cy="62850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11983</xdr:colOff>
      <xdr:row>19</xdr:row>
      <xdr:rowOff>43640</xdr:rowOff>
    </xdr:from>
    <xdr:to>
      <xdr:col>15</xdr:col>
      <xdr:colOff>461925</xdr:colOff>
      <xdr:row>19</xdr:row>
      <xdr:rowOff>122106</xdr:rowOff>
    </xdr:to>
    <xdr:cxnSp macro="">
      <xdr:nvCxnSpPr>
        <xdr:cNvPr id="15" name="Straight Arrow Connector 5">
          <a:extLst>
            <a:ext uri="{FF2B5EF4-FFF2-40B4-BE49-F238E27FC236}">
              <a16:creationId xmlns:a16="http://schemas.microsoft.com/office/drawing/2014/main" id="{D2BCAF05-30DA-4139-A350-F6D1A78CDA1F}"/>
            </a:ext>
          </a:extLst>
        </xdr:cNvPr>
        <xdr:cNvCxnSpPr>
          <a:stCxn id="11" idx="1"/>
        </xdr:cNvCxnSpPr>
      </xdr:nvCxnSpPr>
      <xdr:spPr>
        <a:xfrm flipH="1">
          <a:off x="17194582" y="4643212"/>
          <a:ext cx="449942" cy="7846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1165560</xdr:colOff>
      <xdr:row>21</xdr:row>
      <xdr:rowOff>50132</xdr:rowOff>
    </xdr:from>
    <xdr:to>
      <xdr:col>18</xdr:col>
      <xdr:colOff>1258392</xdr:colOff>
      <xdr:row>24</xdr:row>
      <xdr:rowOff>154778</xdr:rowOff>
    </xdr:to>
    <xdr:sp macro="" textlink="">
      <xdr:nvSpPr>
        <xdr:cNvPr id="4" name="TextBox 27">
          <a:extLst>
            <a:ext uri="{FF2B5EF4-FFF2-40B4-BE49-F238E27FC236}">
              <a16:creationId xmlns:a16="http://schemas.microsoft.com/office/drawing/2014/main" id="{44950183-F53D-4466-9E1E-52DAC81383FE}"/>
            </a:ext>
          </a:extLst>
        </xdr:cNvPr>
        <xdr:cNvSpPr txBox="1"/>
      </xdr:nvSpPr>
      <xdr:spPr>
        <a:xfrm>
          <a:off x="19363323" y="5401678"/>
          <a:ext cx="412842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73B8433E-F4DC-4605-91CF-180CC6E3056A}"/>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13</xdr:col>
      <xdr:colOff>522067</xdr:colOff>
      <xdr:row>20</xdr:row>
      <xdr:rowOff>12401</xdr:rowOff>
    </xdr:from>
    <xdr:to>
      <xdr:col>13</xdr:col>
      <xdr:colOff>953090</xdr:colOff>
      <xdr:row>23</xdr:row>
      <xdr:rowOff>136589</xdr:rowOff>
    </xdr:to>
    <xdr:cxnSp macro="">
      <xdr:nvCxnSpPr>
        <xdr:cNvPr id="2" name="Straight Arrow Connector 5">
          <a:extLst>
            <a:ext uri="{FF2B5EF4-FFF2-40B4-BE49-F238E27FC236}">
              <a16:creationId xmlns:a16="http://schemas.microsoft.com/office/drawing/2014/main" id="{B1683366-5B14-4F88-B3A5-426EE8AAE992}"/>
            </a:ext>
          </a:extLst>
        </xdr:cNvPr>
        <xdr:cNvCxnSpPr>
          <a:stCxn id="10" idx="0"/>
        </xdr:cNvCxnSpPr>
      </xdr:nvCxnSpPr>
      <xdr:spPr>
        <a:xfrm flipH="1" flipV="1">
          <a:off x="15315959" y="4883414"/>
          <a:ext cx="431023" cy="6667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xdr:colOff>
      <xdr:row>7</xdr:row>
      <xdr:rowOff>152320</xdr:rowOff>
    </xdr:from>
    <xdr:to>
      <xdr:col>13</xdr:col>
      <xdr:colOff>59682</xdr:colOff>
      <xdr:row>19</xdr:row>
      <xdr:rowOff>40632</xdr:rowOff>
    </xdr:to>
    <xdr:cxnSp macro="">
      <xdr:nvCxnSpPr>
        <xdr:cNvPr id="6" name="Straight Arrow Connector 2">
          <a:extLst>
            <a:ext uri="{FF2B5EF4-FFF2-40B4-BE49-F238E27FC236}">
              <a16:creationId xmlns:a16="http://schemas.microsoft.com/office/drawing/2014/main" id="{9C509C0C-4196-463B-9C53-B219FAB5ADA0}"/>
            </a:ext>
          </a:extLst>
        </xdr:cNvPr>
        <xdr:cNvCxnSpPr/>
      </xdr:nvCxnSpPr>
      <xdr:spPr>
        <a:xfrm>
          <a:off x="15306675" y="2666920"/>
          <a:ext cx="516882" cy="225051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27289</xdr:colOff>
      <xdr:row>19</xdr:row>
      <xdr:rowOff>96456</xdr:rowOff>
    </xdr:from>
    <xdr:to>
      <xdr:col>13</xdr:col>
      <xdr:colOff>20301</xdr:colOff>
      <xdr:row>19</xdr:row>
      <xdr:rowOff>96456</xdr:rowOff>
    </xdr:to>
    <xdr:cxnSp macro="">
      <xdr:nvCxnSpPr>
        <xdr:cNvPr id="8" name="Straight Arrow Connector 3">
          <a:extLst>
            <a:ext uri="{FF2B5EF4-FFF2-40B4-BE49-F238E27FC236}">
              <a16:creationId xmlns:a16="http://schemas.microsoft.com/office/drawing/2014/main" id="{DE6807BF-E445-46CA-B50A-2E1FC21E21F1}"/>
            </a:ext>
          </a:extLst>
        </xdr:cNvPr>
        <xdr:cNvCxnSpPr/>
      </xdr:nvCxnSpPr>
      <xdr:spPr>
        <a:xfrm>
          <a:off x="14092913" y="5224268"/>
          <a:ext cx="5040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664319</xdr:colOff>
      <xdr:row>4</xdr:row>
      <xdr:rowOff>1164502</xdr:rowOff>
    </xdr:from>
    <xdr:to>
      <xdr:col>13</xdr:col>
      <xdr:colOff>1060499</xdr:colOff>
      <xdr:row>7</xdr:row>
      <xdr:rowOff>48450</xdr:rowOff>
    </xdr:to>
    <xdr:cxnSp macro="">
      <xdr:nvCxnSpPr>
        <xdr:cNvPr id="5" name="Straight Arrow Connector 20">
          <a:extLst>
            <a:ext uri="{FF2B5EF4-FFF2-40B4-BE49-F238E27FC236}">
              <a16:creationId xmlns:a16="http://schemas.microsoft.com/office/drawing/2014/main" id="{3086E42F-EEA8-4A1E-BD34-08FA6242105F}"/>
            </a:ext>
          </a:extLst>
        </xdr:cNvPr>
        <xdr:cNvCxnSpPr>
          <a:cxnSpLocks/>
          <a:stCxn id="19" idx="0"/>
        </xdr:cNvCxnSpPr>
      </xdr:nvCxnSpPr>
      <xdr:spPr>
        <a:xfrm flipH="1" flipV="1">
          <a:off x="13732619" y="2212252"/>
          <a:ext cx="1891605" cy="45557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27932</xdr:colOff>
      <xdr:row>7</xdr:row>
      <xdr:rowOff>114261</xdr:rowOff>
    </xdr:from>
    <xdr:to>
      <xdr:col>11</xdr:col>
      <xdr:colOff>93321</xdr:colOff>
      <xdr:row>7</xdr:row>
      <xdr:rowOff>114261</xdr:rowOff>
    </xdr:to>
    <xdr:cxnSp macro="">
      <xdr:nvCxnSpPr>
        <xdr:cNvPr id="9" name="Straight Arrow Connector 5">
          <a:extLst>
            <a:ext uri="{FF2B5EF4-FFF2-40B4-BE49-F238E27FC236}">
              <a16:creationId xmlns:a16="http://schemas.microsoft.com/office/drawing/2014/main" id="{73EFDF88-7CFC-4F7A-87AF-BC0EA75647FB}"/>
            </a:ext>
          </a:extLst>
        </xdr:cNvPr>
        <xdr:cNvCxnSpPr/>
      </xdr:nvCxnSpPr>
      <xdr:spPr>
        <a:xfrm>
          <a:off x="12157179" y="2722990"/>
          <a:ext cx="1015648"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898596</xdr:colOff>
      <xdr:row>24</xdr:row>
      <xdr:rowOff>127184</xdr:rowOff>
    </xdr:from>
    <xdr:to>
      <xdr:col>16</xdr:col>
      <xdr:colOff>413066</xdr:colOff>
      <xdr:row>25</xdr:row>
      <xdr:rowOff>164044</xdr:rowOff>
    </xdr:to>
    <xdr:cxnSp macro="">
      <xdr:nvCxnSpPr>
        <xdr:cNvPr id="22" name="Straight Arrow Connector 5">
          <a:extLst>
            <a:ext uri="{FF2B5EF4-FFF2-40B4-BE49-F238E27FC236}">
              <a16:creationId xmlns:a16="http://schemas.microsoft.com/office/drawing/2014/main" id="{9F0D0707-9363-4771-9308-A8C07A003DD9}"/>
            </a:ext>
          </a:extLst>
        </xdr:cNvPr>
        <xdr:cNvCxnSpPr/>
      </xdr:nvCxnSpPr>
      <xdr:spPr>
        <a:xfrm flipH="1">
          <a:off x="19202471" y="5604059"/>
          <a:ext cx="974970" cy="21148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293427</xdr:colOff>
      <xdr:row>24</xdr:row>
      <xdr:rowOff>103697</xdr:rowOff>
    </xdr:from>
    <xdr:to>
      <xdr:col>18</xdr:col>
      <xdr:colOff>678364</xdr:colOff>
      <xdr:row>25</xdr:row>
      <xdr:rowOff>168798</xdr:rowOff>
    </xdr:to>
    <xdr:cxnSp macro="">
      <xdr:nvCxnSpPr>
        <xdr:cNvPr id="12" name="Straight Arrow Connector 5">
          <a:extLst>
            <a:ext uri="{FF2B5EF4-FFF2-40B4-BE49-F238E27FC236}">
              <a16:creationId xmlns:a16="http://schemas.microsoft.com/office/drawing/2014/main" id="{33BADD3A-D49A-464E-9555-982CC7330F94}"/>
            </a:ext>
          </a:extLst>
        </xdr:cNvPr>
        <xdr:cNvCxnSpPr>
          <a:cxnSpLocks/>
          <a:stCxn id="7" idx="2"/>
        </xdr:cNvCxnSpPr>
      </xdr:nvCxnSpPr>
      <xdr:spPr>
        <a:xfrm>
          <a:off x="21513680" y="5891039"/>
          <a:ext cx="1518292" cy="2459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286416</xdr:colOff>
      <xdr:row>23</xdr:row>
      <xdr:rowOff>139764</xdr:rowOff>
    </xdr:from>
    <xdr:to>
      <xdr:col>14</xdr:col>
      <xdr:colOff>805596</xdr:colOff>
      <xdr:row>27</xdr:row>
      <xdr:rowOff>56445</xdr:rowOff>
    </xdr:to>
    <xdr:sp macro="" textlink="">
      <xdr:nvSpPr>
        <xdr:cNvPr id="10" name="TextBox 9">
          <a:extLst>
            <a:ext uri="{FF2B5EF4-FFF2-40B4-BE49-F238E27FC236}">
              <a16:creationId xmlns:a16="http://schemas.microsoft.com/office/drawing/2014/main" id="{BB8B4979-0695-4CC4-B1DE-82B57B5A127E}"/>
            </a:ext>
          </a:extLst>
        </xdr:cNvPr>
        <xdr:cNvSpPr txBox="1"/>
      </xdr:nvSpPr>
      <xdr:spPr>
        <a:xfrm>
          <a:off x="14573916" y="5553340"/>
          <a:ext cx="2339781" cy="6400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501718</xdr:colOff>
      <xdr:row>17</xdr:row>
      <xdr:rowOff>94592</xdr:rowOff>
    </xdr:from>
    <xdr:to>
      <xdr:col>18</xdr:col>
      <xdr:colOff>407082</xdr:colOff>
      <xdr:row>20</xdr:row>
      <xdr:rowOff>45059</xdr:rowOff>
    </xdr:to>
    <xdr:sp macro="" textlink="">
      <xdr:nvSpPr>
        <xdr:cNvPr id="20" name="TextBox 10">
          <a:extLst>
            <a:ext uri="{FF2B5EF4-FFF2-40B4-BE49-F238E27FC236}">
              <a16:creationId xmlns:a16="http://schemas.microsoft.com/office/drawing/2014/main" id="{F7B3E2AD-33DE-4380-A7B9-20BAFEA81FCF}"/>
            </a:ext>
          </a:extLst>
        </xdr:cNvPr>
        <xdr:cNvSpPr txBox="1"/>
      </xdr:nvSpPr>
      <xdr:spPr>
        <a:xfrm>
          <a:off x="18805593" y="4349092"/>
          <a:ext cx="3953489" cy="4743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12</xdr:col>
      <xdr:colOff>486350</xdr:colOff>
      <xdr:row>7</xdr:row>
      <xdr:rowOff>48450</xdr:rowOff>
    </xdr:from>
    <xdr:to>
      <xdr:col>14</xdr:col>
      <xdr:colOff>853597</xdr:colOff>
      <xdr:row>10</xdr:row>
      <xdr:rowOff>142874</xdr:rowOff>
    </xdr:to>
    <xdr:sp macro="" textlink="">
      <xdr:nvSpPr>
        <xdr:cNvPr id="19" name="TextBox 13">
          <a:extLst>
            <a:ext uri="{FF2B5EF4-FFF2-40B4-BE49-F238E27FC236}">
              <a16:creationId xmlns:a16="http://schemas.microsoft.com/office/drawing/2014/main" id="{7DBD5897-E12E-4992-A041-F7CDA5B40E4B}"/>
            </a:ext>
          </a:extLst>
        </xdr:cNvPr>
        <xdr:cNvSpPr txBox="1"/>
      </xdr:nvSpPr>
      <xdr:spPr>
        <a:xfrm>
          <a:off x="14535725" y="2667825"/>
          <a:ext cx="2176997" cy="6373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36171</xdr:colOff>
      <xdr:row>18</xdr:row>
      <xdr:rowOff>161840</xdr:rowOff>
    </xdr:from>
    <xdr:to>
      <xdr:col>15</xdr:col>
      <xdr:colOff>504893</xdr:colOff>
      <xdr:row>19</xdr:row>
      <xdr:rowOff>96456</xdr:rowOff>
    </xdr:to>
    <xdr:cxnSp macro="">
      <xdr:nvCxnSpPr>
        <xdr:cNvPr id="24" name="Straight Arrow Connector 5">
          <a:extLst>
            <a:ext uri="{FF2B5EF4-FFF2-40B4-BE49-F238E27FC236}">
              <a16:creationId xmlns:a16="http://schemas.microsoft.com/office/drawing/2014/main" id="{F412573F-2985-4D6A-AD11-9C7208B11D81}"/>
            </a:ext>
          </a:extLst>
        </xdr:cNvPr>
        <xdr:cNvCxnSpPr>
          <a:stCxn id="20" idx="1"/>
        </xdr:cNvCxnSpPr>
      </xdr:nvCxnSpPr>
      <xdr:spPr>
        <a:xfrm flipH="1">
          <a:off x="18338639" y="4671144"/>
          <a:ext cx="468722" cy="11547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1145412</xdr:colOff>
      <xdr:row>21</xdr:row>
      <xdr:rowOff>12058</xdr:rowOff>
    </xdr:from>
    <xdr:to>
      <xdr:col>18</xdr:col>
      <xdr:colOff>1222696</xdr:colOff>
      <xdr:row>24</xdr:row>
      <xdr:rowOff>100522</xdr:rowOff>
    </xdr:to>
    <xdr:sp macro="" textlink="">
      <xdr:nvSpPr>
        <xdr:cNvPr id="7" name="TextBox 27">
          <a:extLst>
            <a:ext uri="{FF2B5EF4-FFF2-40B4-BE49-F238E27FC236}">
              <a16:creationId xmlns:a16="http://schemas.microsoft.com/office/drawing/2014/main" id="{8DC4546D-A646-4782-929B-6CFF74CCC2EA}"/>
            </a:ext>
          </a:extLst>
        </xdr:cNvPr>
        <xdr:cNvSpPr txBox="1"/>
      </xdr:nvSpPr>
      <xdr:spPr>
        <a:xfrm>
          <a:off x="19447880" y="5256836"/>
          <a:ext cx="412842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FAD466E3-EEAF-4D54-9BE0-C3070FB0E0BD}"/>
            </a:ext>
          </a:extLst>
        </xdr:cNvPr>
        <xdr:cNvSpPr txBox="1"/>
      </xdr:nvSpPr>
      <xdr:spPr>
        <a:xfrm>
          <a:off x="286871" y="959224"/>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653143</xdr:colOff>
      <xdr:row>9</xdr:row>
      <xdr:rowOff>27214</xdr:rowOff>
    </xdr:from>
    <xdr:to>
      <xdr:col>13</xdr:col>
      <xdr:colOff>931313</xdr:colOff>
      <xdr:row>13</xdr:row>
      <xdr:rowOff>149679</xdr:rowOff>
    </xdr:to>
    <xdr:cxnSp macro="">
      <xdr:nvCxnSpPr>
        <xdr:cNvPr id="22" name="Straight Arrow Connector 5">
          <a:extLst>
            <a:ext uri="{FF2B5EF4-FFF2-40B4-BE49-F238E27FC236}">
              <a16:creationId xmlns:a16="http://schemas.microsoft.com/office/drawing/2014/main" id="{0D0FD76A-1984-430E-AC05-D85880D67F78}"/>
            </a:ext>
          </a:extLst>
        </xdr:cNvPr>
        <xdr:cNvCxnSpPr>
          <a:stCxn id="21" idx="0"/>
        </xdr:cNvCxnSpPr>
      </xdr:nvCxnSpPr>
      <xdr:spPr>
        <a:xfrm flipH="1" flipV="1">
          <a:off x="15689036" y="2939143"/>
          <a:ext cx="278170" cy="83003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10432</xdr:colOff>
      <xdr:row>7</xdr:row>
      <xdr:rowOff>64862</xdr:rowOff>
    </xdr:from>
    <xdr:to>
      <xdr:col>12</xdr:col>
      <xdr:colOff>462643</xdr:colOff>
      <xdr:row>8</xdr:row>
      <xdr:rowOff>27214</xdr:rowOff>
    </xdr:to>
    <xdr:cxnSp macro="">
      <xdr:nvCxnSpPr>
        <xdr:cNvPr id="12" name="Straight Arrow Connector 2">
          <a:extLst>
            <a:ext uri="{FF2B5EF4-FFF2-40B4-BE49-F238E27FC236}">
              <a16:creationId xmlns:a16="http://schemas.microsoft.com/office/drawing/2014/main" id="{BD7BCCA1-D3BC-439C-8550-0E6DFECBE154}"/>
            </a:ext>
          </a:extLst>
        </xdr:cNvPr>
        <xdr:cNvCxnSpPr/>
      </xdr:nvCxnSpPr>
      <xdr:spPr>
        <a:xfrm>
          <a:off x="14570075" y="2623005"/>
          <a:ext cx="452211" cy="13924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8</xdr:row>
      <xdr:rowOff>95250</xdr:rowOff>
    </xdr:from>
    <xdr:to>
      <xdr:col>12</xdr:col>
      <xdr:colOff>504000</xdr:colOff>
      <xdr:row>8</xdr:row>
      <xdr:rowOff>95250</xdr:rowOff>
    </xdr:to>
    <xdr:cxnSp macro="">
      <xdr:nvCxnSpPr>
        <xdr:cNvPr id="7" name="Straight Arrow Connector 3">
          <a:extLst>
            <a:ext uri="{FF2B5EF4-FFF2-40B4-BE49-F238E27FC236}">
              <a16:creationId xmlns:a16="http://schemas.microsoft.com/office/drawing/2014/main" id="{CAE7A2C5-CEF3-4CD1-B0D5-B1E4B7490B6C}"/>
            </a:ext>
          </a:extLst>
        </xdr:cNvPr>
        <xdr:cNvCxnSpPr/>
      </xdr:nvCxnSpPr>
      <xdr:spPr>
        <a:xfrm>
          <a:off x="14065624" y="2883274"/>
          <a:ext cx="5040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721178</xdr:colOff>
      <xdr:row>5</xdr:row>
      <xdr:rowOff>54429</xdr:rowOff>
    </xdr:from>
    <xdr:to>
      <xdr:col>13</xdr:col>
      <xdr:colOff>268967</xdr:colOff>
      <xdr:row>6</xdr:row>
      <xdr:rowOff>38917</xdr:rowOff>
    </xdr:to>
    <xdr:cxnSp macro="">
      <xdr:nvCxnSpPr>
        <xdr:cNvPr id="31" name="Straight Arrow Connector 20">
          <a:extLst>
            <a:ext uri="{FF2B5EF4-FFF2-40B4-BE49-F238E27FC236}">
              <a16:creationId xmlns:a16="http://schemas.microsoft.com/office/drawing/2014/main" id="{70B11AB3-4EF1-4E36-9378-DB28937C0668}"/>
            </a:ext>
          </a:extLst>
        </xdr:cNvPr>
        <xdr:cNvCxnSpPr>
          <a:cxnSpLocks/>
          <a:stCxn id="9" idx="1"/>
        </xdr:cNvCxnSpPr>
      </xdr:nvCxnSpPr>
      <xdr:spPr>
        <a:xfrm flipH="1" flipV="1">
          <a:off x="13811249" y="2299608"/>
          <a:ext cx="1044575" cy="17498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13607</xdr:colOff>
      <xdr:row>7</xdr:row>
      <xdr:rowOff>40821</xdr:rowOff>
    </xdr:from>
    <xdr:to>
      <xdr:col>11</xdr:col>
      <xdr:colOff>0</xdr:colOff>
      <xdr:row>7</xdr:row>
      <xdr:rowOff>40821</xdr:rowOff>
    </xdr:to>
    <xdr:cxnSp macro="">
      <xdr:nvCxnSpPr>
        <xdr:cNvPr id="4" name="Straight Arrow Connector 5">
          <a:extLst>
            <a:ext uri="{FF2B5EF4-FFF2-40B4-BE49-F238E27FC236}">
              <a16:creationId xmlns:a16="http://schemas.microsoft.com/office/drawing/2014/main" id="{AAF8D4CB-6A6A-4ECA-AA6B-048C22045947}"/>
            </a:ext>
          </a:extLst>
        </xdr:cNvPr>
        <xdr:cNvCxnSpPr/>
      </xdr:nvCxnSpPr>
      <xdr:spPr>
        <a:xfrm>
          <a:off x="12600214" y="2598964"/>
          <a:ext cx="97971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40821</xdr:colOff>
      <xdr:row>8</xdr:row>
      <xdr:rowOff>81643</xdr:rowOff>
    </xdr:from>
    <xdr:to>
      <xdr:col>15</xdr:col>
      <xdr:colOff>850899</xdr:colOff>
      <xdr:row>9</xdr:row>
      <xdr:rowOff>74215</xdr:rowOff>
    </xdr:to>
    <xdr:cxnSp macro="">
      <xdr:nvCxnSpPr>
        <xdr:cNvPr id="20" name="Straight Arrow Connector 5">
          <a:extLst>
            <a:ext uri="{FF2B5EF4-FFF2-40B4-BE49-F238E27FC236}">
              <a16:creationId xmlns:a16="http://schemas.microsoft.com/office/drawing/2014/main" id="{74355F68-FBA3-4EFA-8225-58C296315F26}"/>
            </a:ext>
          </a:extLst>
        </xdr:cNvPr>
        <xdr:cNvCxnSpPr>
          <a:stCxn id="19" idx="1"/>
        </xdr:cNvCxnSpPr>
      </xdr:nvCxnSpPr>
      <xdr:spPr>
        <a:xfrm flipH="1" flipV="1">
          <a:off x="17621250" y="2816679"/>
          <a:ext cx="810078" cy="1694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228147</xdr:colOff>
      <xdr:row>13</xdr:row>
      <xdr:rowOff>149679</xdr:rowOff>
    </xdr:from>
    <xdr:to>
      <xdr:col>14</xdr:col>
      <xdr:colOff>787660</xdr:colOff>
      <xdr:row>17</xdr:row>
      <xdr:rowOff>98082</xdr:rowOff>
    </xdr:to>
    <xdr:sp macro="" textlink="">
      <xdr:nvSpPr>
        <xdr:cNvPr id="21" name="TextBox 7">
          <a:extLst>
            <a:ext uri="{FF2B5EF4-FFF2-40B4-BE49-F238E27FC236}">
              <a16:creationId xmlns:a16="http://schemas.microsoft.com/office/drawing/2014/main" id="{AF8F49AE-151F-4B62-A670-6C53BEE2E21F}"/>
            </a:ext>
          </a:extLst>
        </xdr:cNvPr>
        <xdr:cNvSpPr txBox="1"/>
      </xdr:nvSpPr>
      <xdr:spPr>
        <a:xfrm>
          <a:off x="14787790" y="3769179"/>
          <a:ext cx="2355656" cy="6559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hydrogen output.</a:t>
          </a:r>
          <a:endParaRPr lang="en-GB" sz="1100"/>
        </a:p>
      </xdr:txBody>
    </xdr:sp>
    <xdr:clientData/>
  </xdr:twoCellAnchor>
  <xdr:twoCellAnchor>
    <xdr:from>
      <xdr:col>13</xdr:col>
      <xdr:colOff>268967</xdr:colOff>
      <xdr:row>5</xdr:row>
      <xdr:rowOff>91441</xdr:rowOff>
    </xdr:from>
    <xdr:to>
      <xdr:col>16</xdr:col>
      <xdr:colOff>993321</xdr:colOff>
      <xdr:row>7</xdr:row>
      <xdr:rowOff>1</xdr:rowOff>
    </xdr:to>
    <xdr:sp macro="" textlink="">
      <xdr:nvSpPr>
        <xdr:cNvPr id="9" name="TextBox 8">
          <a:extLst>
            <a:ext uri="{FF2B5EF4-FFF2-40B4-BE49-F238E27FC236}">
              <a16:creationId xmlns:a16="http://schemas.microsoft.com/office/drawing/2014/main" id="{F37E60CE-62F8-4F0D-8EA7-268FDE3617AE}"/>
            </a:ext>
          </a:extLst>
        </xdr:cNvPr>
        <xdr:cNvSpPr txBox="1"/>
      </xdr:nvSpPr>
      <xdr:spPr>
        <a:xfrm>
          <a:off x="14855824" y="2336620"/>
          <a:ext cx="4643211" cy="27595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16</xdr:col>
      <xdr:colOff>976539</xdr:colOff>
      <xdr:row>16</xdr:row>
      <xdr:rowOff>74043</xdr:rowOff>
    </xdr:from>
    <xdr:to>
      <xdr:col>16</xdr:col>
      <xdr:colOff>1171801</xdr:colOff>
      <xdr:row>19</xdr:row>
      <xdr:rowOff>40822</xdr:rowOff>
    </xdr:to>
    <xdr:cxnSp macro="">
      <xdr:nvCxnSpPr>
        <xdr:cNvPr id="14" name="Straight Arrow Connector 5">
          <a:extLst>
            <a:ext uri="{FF2B5EF4-FFF2-40B4-BE49-F238E27FC236}">
              <a16:creationId xmlns:a16="http://schemas.microsoft.com/office/drawing/2014/main" id="{3E4E9F43-10DB-4D69-A7A7-464F6BB3BCB9}"/>
            </a:ext>
          </a:extLst>
        </xdr:cNvPr>
        <xdr:cNvCxnSpPr>
          <a:cxnSpLocks/>
        </xdr:cNvCxnSpPr>
      </xdr:nvCxnSpPr>
      <xdr:spPr>
        <a:xfrm flipH="1">
          <a:off x="20012932" y="4224222"/>
          <a:ext cx="195262" cy="32056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765174</xdr:colOff>
      <xdr:row>16</xdr:row>
      <xdr:rowOff>74043</xdr:rowOff>
    </xdr:from>
    <xdr:to>
      <xdr:col>16</xdr:col>
      <xdr:colOff>1171801</xdr:colOff>
      <xdr:row>19</xdr:row>
      <xdr:rowOff>136072</xdr:rowOff>
    </xdr:to>
    <xdr:cxnSp macro="">
      <xdr:nvCxnSpPr>
        <xdr:cNvPr id="13" name="Straight Arrow Connector 5">
          <a:extLst>
            <a:ext uri="{FF2B5EF4-FFF2-40B4-BE49-F238E27FC236}">
              <a16:creationId xmlns:a16="http://schemas.microsoft.com/office/drawing/2014/main" id="{DD19A4E8-28D4-40F8-B4EA-F68B0BC4E759}"/>
            </a:ext>
          </a:extLst>
        </xdr:cNvPr>
        <xdr:cNvCxnSpPr>
          <a:cxnSpLocks/>
        </xdr:cNvCxnSpPr>
      </xdr:nvCxnSpPr>
      <xdr:spPr>
        <a:xfrm flipH="1">
          <a:off x="18345603" y="4224222"/>
          <a:ext cx="1862591" cy="41581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499390</xdr:colOff>
      <xdr:row>16</xdr:row>
      <xdr:rowOff>69052</xdr:rowOff>
    </xdr:from>
    <xdr:to>
      <xdr:col>18</xdr:col>
      <xdr:colOff>1006929</xdr:colOff>
      <xdr:row>17</xdr:row>
      <xdr:rowOff>125640</xdr:rowOff>
    </xdr:to>
    <xdr:cxnSp macro="">
      <xdr:nvCxnSpPr>
        <xdr:cNvPr id="24" name="Straight Arrow Connector 5">
          <a:extLst>
            <a:ext uri="{FF2B5EF4-FFF2-40B4-BE49-F238E27FC236}">
              <a16:creationId xmlns:a16="http://schemas.microsoft.com/office/drawing/2014/main" id="{8AC5EA3E-AF6F-4477-AA20-56CBA32B7A03}"/>
            </a:ext>
          </a:extLst>
        </xdr:cNvPr>
        <xdr:cNvCxnSpPr>
          <a:cxnSpLocks/>
          <a:stCxn id="15" idx="2"/>
        </xdr:cNvCxnSpPr>
      </xdr:nvCxnSpPr>
      <xdr:spPr>
        <a:xfrm>
          <a:off x="20991747" y="4219231"/>
          <a:ext cx="1636932" cy="2334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854074</xdr:colOff>
      <xdr:row>7</xdr:row>
      <xdr:rowOff>98426</xdr:rowOff>
    </xdr:from>
    <xdr:to>
      <xdr:col>17</xdr:col>
      <xdr:colOff>551542</xdr:colOff>
      <xdr:row>11</xdr:row>
      <xdr:rowOff>43654</xdr:rowOff>
    </xdr:to>
    <xdr:sp macro="" textlink="">
      <xdr:nvSpPr>
        <xdr:cNvPr id="19" name="TextBox 13">
          <a:extLst>
            <a:ext uri="{FF2B5EF4-FFF2-40B4-BE49-F238E27FC236}">
              <a16:creationId xmlns:a16="http://schemas.microsoft.com/office/drawing/2014/main" id="{15CE515F-EBB5-420A-9F25-CB86467BCF83}"/>
            </a:ext>
          </a:extLst>
        </xdr:cNvPr>
        <xdr:cNvSpPr txBox="1"/>
      </xdr:nvSpPr>
      <xdr:spPr>
        <a:xfrm>
          <a:off x="18434503" y="2656569"/>
          <a:ext cx="2609396" cy="6527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15</xdr:col>
      <xdr:colOff>1347106</xdr:colOff>
      <xdr:row>12</xdr:row>
      <xdr:rowOff>136071</xdr:rowOff>
    </xdr:from>
    <xdr:to>
      <xdr:col>18</xdr:col>
      <xdr:colOff>1440559</xdr:colOff>
      <xdr:row>16</xdr:row>
      <xdr:rowOff>65877</xdr:rowOff>
    </xdr:to>
    <xdr:sp macro="" textlink="">
      <xdr:nvSpPr>
        <xdr:cNvPr id="15" name="TextBox 27">
          <a:extLst>
            <a:ext uri="{FF2B5EF4-FFF2-40B4-BE49-F238E27FC236}">
              <a16:creationId xmlns:a16="http://schemas.microsoft.com/office/drawing/2014/main" id="{4B3515C0-8D7E-4DC3-A07B-5ABE12F3D387}"/>
            </a:ext>
          </a:extLst>
        </xdr:cNvPr>
        <xdr:cNvSpPr txBox="1"/>
      </xdr:nvSpPr>
      <xdr:spPr>
        <a:xfrm>
          <a:off x="18927535" y="3578678"/>
          <a:ext cx="413477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755649</xdr:colOff>
      <xdr:row>79</xdr:row>
      <xdr:rowOff>139700</xdr:rowOff>
    </xdr:from>
    <xdr:to>
      <xdr:col>7</xdr:col>
      <xdr:colOff>644977</xdr:colOff>
      <xdr:row>82</xdr:row>
      <xdr:rowOff>73479</xdr:rowOff>
    </xdr:to>
    <xdr:sp macro="" textlink="">
      <xdr:nvSpPr>
        <xdr:cNvPr id="2" name="TextBox 7">
          <a:extLst>
            <a:ext uri="{FF2B5EF4-FFF2-40B4-BE49-F238E27FC236}">
              <a16:creationId xmlns:a16="http://schemas.microsoft.com/office/drawing/2014/main" id="{6FA6D547-FD74-47AF-92DA-6D09F38FBF6C}"/>
            </a:ext>
          </a:extLst>
        </xdr:cNvPr>
        <xdr:cNvSpPr txBox="1"/>
      </xdr:nvSpPr>
      <xdr:spPr>
        <a:xfrm>
          <a:off x="7108824" y="16722725"/>
          <a:ext cx="2984953" cy="4767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 rate is linked to the response given in the Initial questions worksheet.</a:t>
          </a:r>
          <a:endParaRPr lang="en-GB">
            <a:effectLst/>
          </a:endParaRPr>
        </a:p>
      </xdr:txBody>
    </xdr:sp>
    <xdr:clientData/>
  </xdr:twoCellAnchor>
  <xdr:twoCellAnchor>
    <xdr:from>
      <xdr:col>5</xdr:col>
      <xdr:colOff>38100</xdr:colOff>
      <xdr:row>79</xdr:row>
      <xdr:rowOff>91441</xdr:rowOff>
    </xdr:from>
    <xdr:to>
      <xdr:col>5</xdr:col>
      <xdr:colOff>753744</xdr:colOff>
      <xdr:row>81</xdr:row>
      <xdr:rowOff>16238</xdr:rowOff>
    </xdr:to>
    <xdr:cxnSp macro="">
      <xdr:nvCxnSpPr>
        <xdr:cNvPr id="17" name="Straight Arrow Connector 5">
          <a:extLst>
            <a:ext uri="{FF2B5EF4-FFF2-40B4-BE49-F238E27FC236}">
              <a16:creationId xmlns:a16="http://schemas.microsoft.com/office/drawing/2014/main" id="{C8252406-8A1F-4D19-A169-9ABCF12003B6}"/>
            </a:ext>
          </a:extLst>
        </xdr:cNvPr>
        <xdr:cNvCxnSpPr>
          <a:stCxn id="2" idx="1"/>
        </xdr:cNvCxnSpPr>
      </xdr:nvCxnSpPr>
      <xdr:spPr>
        <a:xfrm flipH="1" flipV="1">
          <a:off x="6297386" y="16392798"/>
          <a:ext cx="715644" cy="2785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24BECDBC-B988-4221-9B33-3DF67F6B9F52}"/>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693965</xdr:colOff>
      <xdr:row>5</xdr:row>
      <xdr:rowOff>40821</xdr:rowOff>
    </xdr:from>
    <xdr:to>
      <xdr:col>12</xdr:col>
      <xdr:colOff>421822</xdr:colOff>
      <xdr:row>7</xdr:row>
      <xdr:rowOff>54428</xdr:rowOff>
    </xdr:to>
    <xdr:cxnSp macro="">
      <xdr:nvCxnSpPr>
        <xdr:cNvPr id="21" name="Straight Arrow Connector 20">
          <a:extLst>
            <a:ext uri="{FF2B5EF4-FFF2-40B4-BE49-F238E27FC236}">
              <a16:creationId xmlns:a16="http://schemas.microsoft.com/office/drawing/2014/main" id="{26809F07-BA51-4570-A931-589AA9CB2DEA}"/>
            </a:ext>
          </a:extLst>
        </xdr:cNvPr>
        <xdr:cNvCxnSpPr>
          <a:cxnSpLocks/>
        </xdr:cNvCxnSpPr>
      </xdr:nvCxnSpPr>
      <xdr:spPr>
        <a:xfrm flipH="1" flipV="1">
          <a:off x="14722929" y="2394857"/>
          <a:ext cx="707572" cy="3810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808</xdr:colOff>
      <xdr:row>9</xdr:row>
      <xdr:rowOff>68036</xdr:rowOff>
    </xdr:from>
    <xdr:to>
      <xdr:col>11</xdr:col>
      <xdr:colOff>27215</xdr:colOff>
      <xdr:row>9</xdr:row>
      <xdr:rowOff>68036</xdr:rowOff>
    </xdr:to>
    <xdr:cxnSp macro="">
      <xdr:nvCxnSpPr>
        <xdr:cNvPr id="3" name="Straight Arrow Connector 2">
          <a:extLst>
            <a:ext uri="{FF2B5EF4-FFF2-40B4-BE49-F238E27FC236}">
              <a16:creationId xmlns:a16="http://schemas.microsoft.com/office/drawing/2014/main" id="{11AE7F5B-A5C5-4394-ACDB-843A019F613C}"/>
            </a:ext>
          </a:extLst>
        </xdr:cNvPr>
        <xdr:cNvCxnSpPr/>
      </xdr:nvCxnSpPr>
      <xdr:spPr>
        <a:xfrm flipV="1">
          <a:off x="12130055" y="3402907"/>
          <a:ext cx="976666"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900430</xdr:colOff>
      <xdr:row>19</xdr:row>
      <xdr:rowOff>81643</xdr:rowOff>
    </xdr:from>
    <xdr:to>
      <xdr:col>14</xdr:col>
      <xdr:colOff>136071</xdr:colOff>
      <xdr:row>24</xdr:row>
      <xdr:rowOff>2</xdr:rowOff>
    </xdr:to>
    <xdr:cxnSp macro="">
      <xdr:nvCxnSpPr>
        <xdr:cNvPr id="17" name="Straight Arrow Connector 5">
          <a:extLst>
            <a:ext uri="{FF2B5EF4-FFF2-40B4-BE49-F238E27FC236}">
              <a16:creationId xmlns:a16="http://schemas.microsoft.com/office/drawing/2014/main" id="{8CB91384-D132-4991-9FD3-7782C83EA02C}"/>
            </a:ext>
          </a:extLst>
        </xdr:cNvPr>
        <xdr:cNvCxnSpPr>
          <a:stCxn id="8" idx="0"/>
        </xdr:cNvCxnSpPr>
      </xdr:nvCxnSpPr>
      <xdr:spPr>
        <a:xfrm flipV="1">
          <a:off x="16086001" y="5129893"/>
          <a:ext cx="528320" cy="80282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867682</xdr:colOff>
      <xdr:row>22</xdr:row>
      <xdr:rowOff>149678</xdr:rowOff>
    </xdr:from>
    <xdr:to>
      <xdr:col>16</xdr:col>
      <xdr:colOff>694872</xdr:colOff>
      <xdr:row>25</xdr:row>
      <xdr:rowOff>119291</xdr:rowOff>
    </xdr:to>
    <xdr:cxnSp macro="">
      <xdr:nvCxnSpPr>
        <xdr:cNvPr id="14" name="Straight Arrow Connector 5">
          <a:extLst>
            <a:ext uri="{FF2B5EF4-FFF2-40B4-BE49-F238E27FC236}">
              <a16:creationId xmlns:a16="http://schemas.microsoft.com/office/drawing/2014/main" id="{1AB6D7EE-859A-4F73-817D-8F7412A39AA2}"/>
            </a:ext>
          </a:extLst>
        </xdr:cNvPr>
        <xdr:cNvCxnSpPr/>
      </xdr:nvCxnSpPr>
      <xdr:spPr>
        <a:xfrm flipH="1">
          <a:off x="18924361" y="5347607"/>
          <a:ext cx="1283154" cy="50029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203209</xdr:colOff>
      <xdr:row>22</xdr:row>
      <xdr:rowOff>154778</xdr:rowOff>
    </xdr:from>
    <xdr:to>
      <xdr:col>18</xdr:col>
      <xdr:colOff>711653</xdr:colOff>
      <xdr:row>25</xdr:row>
      <xdr:rowOff>136072</xdr:rowOff>
    </xdr:to>
    <xdr:cxnSp macro="">
      <xdr:nvCxnSpPr>
        <xdr:cNvPr id="6" name="Straight Arrow Connector 5">
          <a:extLst>
            <a:ext uri="{FF2B5EF4-FFF2-40B4-BE49-F238E27FC236}">
              <a16:creationId xmlns:a16="http://schemas.microsoft.com/office/drawing/2014/main" id="{92009B3E-3720-4597-B7E9-790F63C81679}"/>
            </a:ext>
          </a:extLst>
        </xdr:cNvPr>
        <xdr:cNvCxnSpPr>
          <a:cxnSpLocks/>
          <a:stCxn id="5" idx="2"/>
        </xdr:cNvCxnSpPr>
      </xdr:nvCxnSpPr>
      <xdr:spPr>
        <a:xfrm>
          <a:off x="21171816" y="5543207"/>
          <a:ext cx="1637837" cy="5119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105682</xdr:colOff>
      <xdr:row>24</xdr:row>
      <xdr:rowOff>2</xdr:rowOff>
    </xdr:from>
    <xdr:to>
      <xdr:col>14</xdr:col>
      <xdr:colOff>898071</xdr:colOff>
      <xdr:row>27</xdr:row>
      <xdr:rowOff>118947</xdr:rowOff>
    </xdr:to>
    <xdr:sp macro="" textlink="">
      <xdr:nvSpPr>
        <xdr:cNvPr id="8" name="TextBox 7">
          <a:extLst>
            <a:ext uri="{FF2B5EF4-FFF2-40B4-BE49-F238E27FC236}">
              <a16:creationId xmlns:a16="http://schemas.microsoft.com/office/drawing/2014/main" id="{9F1F0D64-F813-45E7-8C64-A9CD4CD47D16}"/>
            </a:ext>
          </a:extLst>
        </xdr:cNvPr>
        <xdr:cNvSpPr txBox="1"/>
      </xdr:nvSpPr>
      <xdr:spPr>
        <a:xfrm>
          <a:off x="15114361" y="5551716"/>
          <a:ext cx="2615746" cy="6496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12</xdr:col>
      <xdr:colOff>383266</xdr:colOff>
      <xdr:row>6</xdr:row>
      <xdr:rowOff>103777</xdr:rowOff>
    </xdr:from>
    <xdr:to>
      <xdr:col>14</xdr:col>
      <xdr:colOff>741407</xdr:colOff>
      <xdr:row>10</xdr:row>
      <xdr:rowOff>47625</xdr:rowOff>
    </xdr:to>
    <xdr:sp macro="" textlink="">
      <xdr:nvSpPr>
        <xdr:cNvPr id="18" name="TextBox 9">
          <a:extLst>
            <a:ext uri="{FF2B5EF4-FFF2-40B4-BE49-F238E27FC236}">
              <a16:creationId xmlns:a16="http://schemas.microsoft.com/office/drawing/2014/main" id="{9E06E72F-4955-489B-AF94-F3E0FFFA4D04}"/>
            </a:ext>
          </a:extLst>
        </xdr:cNvPr>
        <xdr:cNvSpPr txBox="1"/>
      </xdr:nvSpPr>
      <xdr:spPr>
        <a:xfrm>
          <a:off x="14432641" y="2542177"/>
          <a:ext cx="2167891" cy="66774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1047750</xdr:colOff>
      <xdr:row>19</xdr:row>
      <xdr:rowOff>54429</xdr:rowOff>
    </xdr:from>
    <xdr:to>
      <xdr:col>18</xdr:col>
      <xdr:colOff>1141203</xdr:colOff>
      <xdr:row>22</xdr:row>
      <xdr:rowOff>154778</xdr:rowOff>
    </xdr:to>
    <xdr:sp macro="" textlink="">
      <xdr:nvSpPr>
        <xdr:cNvPr id="5" name="TextBox 27">
          <a:extLst>
            <a:ext uri="{FF2B5EF4-FFF2-40B4-BE49-F238E27FC236}">
              <a16:creationId xmlns:a16="http://schemas.microsoft.com/office/drawing/2014/main" id="{711A298F-710F-4043-9E4D-250390F28464}"/>
            </a:ext>
          </a:extLst>
        </xdr:cNvPr>
        <xdr:cNvSpPr txBox="1"/>
      </xdr:nvSpPr>
      <xdr:spPr>
        <a:xfrm>
          <a:off x="19104429" y="4912179"/>
          <a:ext cx="413477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2" name="TextBox 17">
          <a:extLst>
            <a:ext uri="{FF2B5EF4-FFF2-40B4-BE49-F238E27FC236}">
              <a16:creationId xmlns:a16="http://schemas.microsoft.com/office/drawing/2014/main" id="{550630D7-731F-4F34-877D-55E994FEBCE7}"/>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606425</xdr:colOff>
      <xdr:row>45</xdr:row>
      <xdr:rowOff>49742</xdr:rowOff>
    </xdr:from>
    <xdr:to>
      <xdr:col>29</xdr:col>
      <xdr:colOff>63791</xdr:colOff>
      <xdr:row>54</xdr:row>
      <xdr:rowOff>113476</xdr:rowOff>
    </xdr:to>
    <xdr:pic>
      <xdr:nvPicPr>
        <xdr:cNvPr id="4" name="Picture 3">
          <a:extLst>
            <a:ext uri="{FF2B5EF4-FFF2-40B4-BE49-F238E27FC236}">
              <a16:creationId xmlns:a16="http://schemas.microsoft.com/office/drawing/2014/main" id="{F3EE73D0-D3A1-41D6-B85C-452322A28E4E}"/>
            </a:ext>
          </a:extLst>
        </xdr:cNvPr>
        <xdr:cNvPicPr>
          <a:picLocks noChangeAspect="1"/>
        </xdr:cNvPicPr>
      </xdr:nvPicPr>
      <xdr:blipFill>
        <a:blip xmlns:r="http://schemas.openxmlformats.org/officeDocument/2006/relationships" r:embed="rId1"/>
        <a:stretch>
          <a:fillRect/>
        </a:stretch>
      </xdr:blipFill>
      <xdr:spPr>
        <a:xfrm>
          <a:off x="606425" y="9585325"/>
          <a:ext cx="17258533" cy="1682984"/>
        </a:xfrm>
        <a:prstGeom prst="rect">
          <a:avLst/>
        </a:prstGeom>
      </xdr:spPr>
    </xdr:pic>
    <xdr:clientData/>
  </xdr:twoCellAnchor>
  <xdr:twoCellAnchor editAs="oneCell">
    <xdr:from>
      <xdr:col>1</xdr:col>
      <xdr:colOff>0</xdr:colOff>
      <xdr:row>82</xdr:row>
      <xdr:rowOff>0</xdr:rowOff>
    </xdr:from>
    <xdr:to>
      <xdr:col>29</xdr:col>
      <xdr:colOff>74375</xdr:colOff>
      <xdr:row>95</xdr:row>
      <xdr:rowOff>176034</xdr:rowOff>
    </xdr:to>
    <xdr:pic>
      <xdr:nvPicPr>
        <xdr:cNvPr id="32" name="Picture 31">
          <a:extLst>
            <a:ext uri="{FF2B5EF4-FFF2-40B4-BE49-F238E27FC236}">
              <a16:creationId xmlns:a16="http://schemas.microsoft.com/office/drawing/2014/main" id="{C2A533B2-34B1-4E5B-97C0-29593D082333}"/>
            </a:ext>
          </a:extLst>
        </xdr:cNvPr>
        <xdr:cNvPicPr>
          <a:picLocks noChangeAspect="1"/>
        </xdr:cNvPicPr>
      </xdr:nvPicPr>
      <xdr:blipFill>
        <a:blip xmlns:r="http://schemas.openxmlformats.org/officeDocument/2006/relationships" r:embed="rId2"/>
        <a:stretch>
          <a:fillRect/>
        </a:stretch>
      </xdr:blipFill>
      <xdr:spPr>
        <a:xfrm>
          <a:off x="613833" y="16266583"/>
          <a:ext cx="17261709" cy="2514951"/>
        </a:xfrm>
        <a:prstGeom prst="rect">
          <a:avLst/>
        </a:prstGeom>
      </xdr:spPr>
    </xdr:pic>
    <xdr:clientData/>
  </xdr:twoCellAnchor>
  <xdr:twoCellAnchor editAs="oneCell">
    <xdr:from>
      <xdr:col>0</xdr:col>
      <xdr:colOff>600075</xdr:colOff>
      <xdr:row>107</xdr:row>
      <xdr:rowOff>42333</xdr:rowOff>
    </xdr:from>
    <xdr:to>
      <xdr:col>29</xdr:col>
      <xdr:colOff>54266</xdr:colOff>
      <xdr:row>117</xdr:row>
      <xdr:rowOff>92336</xdr:rowOff>
    </xdr:to>
    <xdr:pic>
      <xdr:nvPicPr>
        <xdr:cNvPr id="5" name="Picture 4">
          <a:extLst>
            <a:ext uri="{FF2B5EF4-FFF2-40B4-BE49-F238E27FC236}">
              <a16:creationId xmlns:a16="http://schemas.microsoft.com/office/drawing/2014/main" id="{344BD088-A678-4AB8-8986-0D0A91CAB1D9}"/>
            </a:ext>
          </a:extLst>
        </xdr:cNvPr>
        <xdr:cNvPicPr>
          <a:picLocks noChangeAspect="1"/>
        </xdr:cNvPicPr>
      </xdr:nvPicPr>
      <xdr:blipFill>
        <a:blip xmlns:r="http://schemas.openxmlformats.org/officeDocument/2006/relationships" r:embed="rId3"/>
        <a:stretch>
          <a:fillRect/>
        </a:stretch>
      </xdr:blipFill>
      <xdr:spPr>
        <a:xfrm>
          <a:off x="600075" y="20859750"/>
          <a:ext cx="17255358" cy="1870336"/>
        </a:xfrm>
        <a:prstGeom prst="rect">
          <a:avLst/>
        </a:prstGeom>
      </xdr:spPr>
    </xdr:pic>
    <xdr:clientData/>
  </xdr:twoCellAnchor>
  <xdr:twoCellAnchor>
    <xdr:from>
      <xdr:col>0</xdr:col>
      <xdr:colOff>587556</xdr:colOff>
      <xdr:row>12</xdr:row>
      <xdr:rowOff>22366</xdr:rowOff>
    </xdr:from>
    <xdr:to>
      <xdr:col>29</xdr:col>
      <xdr:colOff>210141</xdr:colOff>
      <xdr:row>36</xdr:row>
      <xdr:rowOff>19786</xdr:rowOff>
    </xdr:to>
    <xdr:grpSp>
      <xdr:nvGrpSpPr>
        <xdr:cNvPr id="19" name="Group 18">
          <a:extLst>
            <a:ext uri="{FF2B5EF4-FFF2-40B4-BE49-F238E27FC236}">
              <a16:creationId xmlns:a16="http://schemas.microsoft.com/office/drawing/2014/main" id="{9C7E8339-9ED1-4199-BB50-AC92BDFFBCE9}"/>
            </a:ext>
          </a:extLst>
        </xdr:cNvPr>
        <xdr:cNvGrpSpPr/>
      </xdr:nvGrpSpPr>
      <xdr:grpSpPr>
        <a:xfrm>
          <a:off x="591366" y="2447431"/>
          <a:ext cx="17293365" cy="4340820"/>
          <a:chOff x="447643" y="2146712"/>
          <a:chExt cx="17053518" cy="4320509"/>
        </a:xfrm>
      </xdr:grpSpPr>
      <xdr:pic>
        <xdr:nvPicPr>
          <xdr:cNvPr id="17" name="Picture 16">
            <a:extLst>
              <a:ext uri="{FF2B5EF4-FFF2-40B4-BE49-F238E27FC236}">
                <a16:creationId xmlns:a16="http://schemas.microsoft.com/office/drawing/2014/main" id="{5000EB93-7BC5-4D86-916D-2DA345B0243D}"/>
              </a:ext>
            </a:extLst>
          </xdr:cNvPr>
          <xdr:cNvPicPr>
            <a:picLocks noChangeAspect="1"/>
          </xdr:cNvPicPr>
        </xdr:nvPicPr>
        <xdr:blipFill>
          <a:blip xmlns:r="http://schemas.openxmlformats.org/officeDocument/2006/relationships" r:embed="rId4"/>
          <a:stretch>
            <a:fillRect/>
          </a:stretch>
        </xdr:blipFill>
        <xdr:spPr>
          <a:xfrm>
            <a:off x="447643" y="2696208"/>
            <a:ext cx="17053518" cy="2518182"/>
          </a:xfrm>
          <a:prstGeom prst="rect">
            <a:avLst/>
          </a:prstGeom>
        </xdr:spPr>
      </xdr:pic>
      <xdr:grpSp>
        <xdr:nvGrpSpPr>
          <xdr:cNvPr id="33" name="Group 32">
            <a:extLst>
              <a:ext uri="{FF2B5EF4-FFF2-40B4-BE49-F238E27FC236}">
                <a16:creationId xmlns:a16="http://schemas.microsoft.com/office/drawing/2014/main" id="{589BD959-076A-4FA9-B5FA-E4312661EA3E}"/>
              </a:ext>
            </a:extLst>
          </xdr:cNvPr>
          <xdr:cNvGrpSpPr/>
        </xdr:nvGrpSpPr>
        <xdr:grpSpPr>
          <a:xfrm>
            <a:off x="2364865" y="2146712"/>
            <a:ext cx="13734882" cy="4320509"/>
            <a:chOff x="2366704" y="1258244"/>
            <a:chExt cx="13779816" cy="3764790"/>
          </a:xfrm>
        </xdr:grpSpPr>
        <xdr:grpSp>
          <xdr:nvGrpSpPr>
            <xdr:cNvPr id="30" name="Group 29">
              <a:extLst>
                <a:ext uri="{FF2B5EF4-FFF2-40B4-BE49-F238E27FC236}">
                  <a16:creationId xmlns:a16="http://schemas.microsoft.com/office/drawing/2014/main" id="{36FCD793-45A4-440E-BE83-32C23190F606}"/>
                </a:ext>
              </a:extLst>
            </xdr:cNvPr>
            <xdr:cNvGrpSpPr/>
          </xdr:nvGrpSpPr>
          <xdr:grpSpPr>
            <a:xfrm>
              <a:off x="2366704" y="1322784"/>
              <a:ext cx="13779816" cy="3700250"/>
              <a:chOff x="2309889" y="992980"/>
              <a:chExt cx="13782532" cy="3693798"/>
            </a:xfrm>
          </xdr:grpSpPr>
          <xdr:cxnSp macro="">
            <xdr:nvCxnSpPr>
              <xdr:cNvPr id="10" name="Straight Arrow Connector 9">
                <a:extLst>
                  <a:ext uri="{FF2B5EF4-FFF2-40B4-BE49-F238E27FC236}">
                    <a16:creationId xmlns:a16="http://schemas.microsoft.com/office/drawing/2014/main" id="{22906A09-68D4-4C3D-9A75-FAEBFEC7FDBA}"/>
                  </a:ext>
                </a:extLst>
              </xdr:cNvPr>
              <xdr:cNvCxnSpPr>
                <a:cxnSpLocks/>
                <a:stCxn id="11" idx="1"/>
              </xdr:cNvCxnSpPr>
            </xdr:nvCxnSpPr>
            <xdr:spPr>
              <a:xfrm flipH="1">
                <a:off x="9176790" y="1226865"/>
                <a:ext cx="947013" cy="3116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TextBox 10">
                <a:extLst>
                  <a:ext uri="{FF2B5EF4-FFF2-40B4-BE49-F238E27FC236}">
                    <a16:creationId xmlns:a16="http://schemas.microsoft.com/office/drawing/2014/main" id="{EA213402-7C6F-44AD-9D2C-A410CDAB69DE}"/>
                  </a:ext>
                </a:extLst>
              </xdr:cNvPr>
              <xdr:cNvSpPr txBox="1"/>
            </xdr:nvSpPr>
            <xdr:spPr>
              <a:xfrm>
                <a:off x="10123803" y="992980"/>
                <a:ext cx="2933137" cy="46777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Links back to the Summary worksheet for</a:t>
                </a:r>
                <a:r>
                  <a:rPr lang="en-GB" sz="1100" baseline="0"/>
                  <a:t> this pathway to view the summary GHG result.</a:t>
                </a:r>
                <a:endParaRPr lang="en-GB" sz="1100"/>
              </a:p>
            </xdr:txBody>
          </xdr:sp>
          <xdr:sp macro="" textlink="">
            <xdr:nvSpPr>
              <xdr:cNvPr id="13" name="TextBox 12">
                <a:extLst>
                  <a:ext uri="{FF2B5EF4-FFF2-40B4-BE49-F238E27FC236}">
                    <a16:creationId xmlns:a16="http://schemas.microsoft.com/office/drawing/2014/main" id="{AE0D64BA-70B9-427F-91AF-1A7F7E4D5CFC}"/>
                  </a:ext>
                </a:extLst>
              </xdr:cNvPr>
              <xdr:cNvSpPr txBox="1"/>
            </xdr:nvSpPr>
            <xdr:spPr>
              <a:xfrm>
                <a:off x="8753178" y="4265876"/>
                <a:ext cx="3125220" cy="420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here based on the main feedstock input and main product output.</a:t>
                </a:r>
                <a:endParaRPr lang="en-GB" sz="1100"/>
              </a:p>
            </xdr:txBody>
          </xdr:sp>
          <xdr:sp macro="" textlink="">
            <xdr:nvSpPr>
              <xdr:cNvPr id="14" name="TextBox 13">
                <a:extLst>
                  <a:ext uri="{FF2B5EF4-FFF2-40B4-BE49-F238E27FC236}">
                    <a16:creationId xmlns:a16="http://schemas.microsoft.com/office/drawing/2014/main" id="{B005D0A1-6862-4DF5-B924-38EC872D4B96}"/>
                  </a:ext>
                </a:extLst>
              </xdr:cNvPr>
              <xdr:cNvSpPr txBox="1"/>
            </xdr:nvSpPr>
            <xdr:spPr>
              <a:xfrm>
                <a:off x="12278117" y="4120941"/>
                <a:ext cx="3814304" cy="414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allocation factor is calculated here based on the LHV energy content of all products and co-products.</a:t>
                </a:r>
                <a:endParaRPr lang="en-GB" sz="1100"/>
              </a:p>
            </xdr:txBody>
          </xdr:sp>
          <xdr:cxnSp macro="">
            <xdr:nvCxnSpPr>
              <xdr:cNvPr id="15" name="Straight Arrow Connector 14">
                <a:extLst>
                  <a:ext uri="{FF2B5EF4-FFF2-40B4-BE49-F238E27FC236}">
                    <a16:creationId xmlns:a16="http://schemas.microsoft.com/office/drawing/2014/main" id="{15145A3E-8E9D-47C0-B1C2-E3FDDCB71A8F}"/>
                  </a:ext>
                </a:extLst>
              </xdr:cNvPr>
              <xdr:cNvCxnSpPr>
                <a:stCxn id="13" idx="0"/>
              </xdr:cNvCxnSpPr>
            </xdr:nvCxnSpPr>
            <xdr:spPr>
              <a:xfrm flipV="1">
                <a:off x="10315788" y="2863143"/>
                <a:ext cx="397648" cy="140273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 name="Straight Arrow Connector 17">
                <a:extLst>
                  <a:ext uri="{FF2B5EF4-FFF2-40B4-BE49-F238E27FC236}">
                    <a16:creationId xmlns:a16="http://schemas.microsoft.com/office/drawing/2014/main" id="{C7B4B7B5-C136-4967-B5B0-6964054DD5FA}"/>
                  </a:ext>
                </a:extLst>
              </xdr:cNvPr>
              <xdr:cNvCxnSpPr>
                <a:stCxn id="14" idx="0"/>
              </xdr:cNvCxnSpPr>
            </xdr:nvCxnSpPr>
            <xdr:spPr>
              <a:xfrm flipH="1" flipV="1">
                <a:off x="12022354" y="2881480"/>
                <a:ext cx="2162915" cy="123946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C5F7AE44-F780-4B38-BA7F-7BE74E689D3F}"/>
                  </a:ext>
                </a:extLst>
              </xdr:cNvPr>
              <xdr:cNvSpPr txBox="1"/>
            </xdr:nvSpPr>
            <xdr:spPr>
              <a:xfrm>
                <a:off x="2309889" y="3988510"/>
                <a:ext cx="1943562" cy="4120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need</a:t>
                </a:r>
                <a:r>
                  <a:rPr lang="en-GB" sz="1100" b="1" baseline="0"/>
                  <a:t> to be provided in tonnes/yr or MWh/yr.</a:t>
                </a:r>
                <a:endParaRPr lang="en-GB" sz="1100" b="1"/>
              </a:p>
            </xdr:txBody>
          </xdr:sp>
          <xdr:cxnSp macro="">
            <xdr:nvCxnSpPr>
              <xdr:cNvPr id="24" name="Straight Arrow Connector 23">
                <a:extLst>
                  <a:ext uri="{FF2B5EF4-FFF2-40B4-BE49-F238E27FC236}">
                    <a16:creationId xmlns:a16="http://schemas.microsoft.com/office/drawing/2014/main" id="{E495C13A-6722-43C9-ACFE-CFF0894EF7C9}"/>
                  </a:ext>
                </a:extLst>
              </xdr:cNvPr>
              <xdr:cNvCxnSpPr>
                <a:stCxn id="23" idx="0"/>
              </xdr:cNvCxnSpPr>
            </xdr:nvCxnSpPr>
            <xdr:spPr>
              <a:xfrm flipH="1" flipV="1">
                <a:off x="3202080" y="3621808"/>
                <a:ext cx="79591" cy="36670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28" name="TextBox 27">
              <a:extLst>
                <a:ext uri="{FF2B5EF4-FFF2-40B4-BE49-F238E27FC236}">
                  <a16:creationId xmlns:a16="http://schemas.microsoft.com/office/drawing/2014/main" id="{3D591EC8-CEC1-47B2-9FA4-25389DF1AAD1}"/>
                </a:ext>
              </a:extLst>
            </xdr:cNvPr>
            <xdr:cNvSpPr txBox="1"/>
          </xdr:nvSpPr>
          <xdr:spPr>
            <a:xfrm>
              <a:off x="4079730" y="1258244"/>
              <a:ext cx="2293913" cy="65611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Provide as much detail on the values reported including any sources of evidence in these columns.</a:t>
              </a:r>
            </a:p>
          </xdr:txBody>
        </xdr:sp>
        <xdr:cxnSp macro="">
          <xdr:nvCxnSpPr>
            <xdr:cNvPr id="29" name="Straight Arrow Connector 28">
              <a:extLst>
                <a:ext uri="{FF2B5EF4-FFF2-40B4-BE49-F238E27FC236}">
                  <a16:creationId xmlns:a16="http://schemas.microsoft.com/office/drawing/2014/main" id="{CCC8DE4C-5DA6-4BB4-AA25-25C803D5D61B}"/>
                </a:ext>
              </a:extLst>
            </xdr:cNvPr>
            <xdr:cNvCxnSpPr>
              <a:stCxn id="28" idx="2"/>
            </xdr:cNvCxnSpPr>
          </xdr:nvCxnSpPr>
          <xdr:spPr>
            <a:xfrm>
              <a:off x="5226686" y="1914355"/>
              <a:ext cx="429637" cy="29216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8</xdr:col>
      <xdr:colOff>159883</xdr:colOff>
      <xdr:row>16</xdr:row>
      <xdr:rowOff>26055</xdr:rowOff>
    </xdr:from>
    <xdr:to>
      <xdr:col>8</xdr:col>
      <xdr:colOff>541447</xdr:colOff>
      <xdr:row>17</xdr:row>
      <xdr:rowOff>160337</xdr:rowOff>
    </xdr:to>
    <xdr:cxnSp macro="">
      <xdr:nvCxnSpPr>
        <xdr:cNvPr id="37" name="Straight Arrow Connector 36">
          <a:extLst>
            <a:ext uri="{FF2B5EF4-FFF2-40B4-BE49-F238E27FC236}">
              <a16:creationId xmlns:a16="http://schemas.microsoft.com/office/drawing/2014/main" id="{BC679702-A9FA-4EED-9391-39816D5AEB6C}"/>
            </a:ext>
          </a:extLst>
        </xdr:cNvPr>
        <xdr:cNvCxnSpPr>
          <a:stCxn id="28" idx="2"/>
        </xdr:cNvCxnSpPr>
      </xdr:nvCxnSpPr>
      <xdr:spPr>
        <a:xfrm flipH="1">
          <a:off x="5008974" y="2978805"/>
          <a:ext cx="381564" cy="31612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420381</xdr:colOff>
      <xdr:row>113</xdr:row>
      <xdr:rowOff>39045</xdr:rowOff>
    </xdr:from>
    <xdr:to>
      <xdr:col>25</xdr:col>
      <xdr:colOff>574624</xdr:colOff>
      <xdr:row>124</xdr:row>
      <xdr:rowOff>105829</xdr:rowOff>
    </xdr:to>
    <xdr:grpSp>
      <xdr:nvGrpSpPr>
        <xdr:cNvPr id="26" name="Group 25">
          <a:extLst>
            <a:ext uri="{FF2B5EF4-FFF2-40B4-BE49-F238E27FC236}">
              <a16:creationId xmlns:a16="http://schemas.microsoft.com/office/drawing/2014/main" id="{B39A01A0-820B-423C-B065-FC87A78AB698}"/>
            </a:ext>
          </a:extLst>
        </xdr:cNvPr>
        <xdr:cNvGrpSpPr/>
      </xdr:nvGrpSpPr>
      <xdr:grpSpPr>
        <a:xfrm>
          <a:off x="1029981" y="22013220"/>
          <a:ext cx="14784643" cy="2074654"/>
          <a:chOff x="1183581" y="19467548"/>
          <a:chExt cx="14614509" cy="1960438"/>
        </a:xfrm>
      </xdr:grpSpPr>
      <xdr:sp macro="" textlink="">
        <xdr:nvSpPr>
          <xdr:cNvPr id="634" name="TextBox 82">
            <a:extLst>
              <a:ext uri="{FF2B5EF4-FFF2-40B4-BE49-F238E27FC236}">
                <a16:creationId xmlns:a16="http://schemas.microsoft.com/office/drawing/2014/main" id="{7B9787A2-993A-4976-BB8F-80C45774F216}"/>
              </a:ext>
            </a:extLst>
          </xdr:cNvPr>
          <xdr:cNvSpPr txBox="1"/>
        </xdr:nvSpPr>
        <xdr:spPr>
          <a:xfrm>
            <a:off x="1183581" y="20889528"/>
            <a:ext cx="3232790" cy="5384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Other characteristics of the process that are not necessarily inputs or outputs </a:t>
            </a:r>
            <a:r>
              <a:rPr lang="en-GB" sz="1100" baseline="0"/>
              <a:t>should be provided here. </a:t>
            </a:r>
            <a:endParaRPr lang="en-GB" sz="1100"/>
          </a:p>
        </xdr:txBody>
      </xdr:sp>
      <xdr:cxnSp macro="">
        <xdr:nvCxnSpPr>
          <xdr:cNvPr id="791" name="Straight Arrow Connector 83">
            <a:extLst>
              <a:ext uri="{FF2B5EF4-FFF2-40B4-BE49-F238E27FC236}">
                <a16:creationId xmlns:a16="http://schemas.microsoft.com/office/drawing/2014/main" id="{AA3C0775-1138-4EE0-A183-0699967DF0F9}"/>
              </a:ext>
            </a:extLst>
          </xdr:cNvPr>
          <xdr:cNvCxnSpPr>
            <a:stCxn id="634" idx="0"/>
          </xdr:cNvCxnSpPr>
        </xdr:nvCxnSpPr>
        <xdr:spPr>
          <a:xfrm flipV="1">
            <a:off x="2799977" y="20187487"/>
            <a:ext cx="722720" cy="70204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6" name="TextBox 86">
            <a:extLst>
              <a:ext uri="{FF2B5EF4-FFF2-40B4-BE49-F238E27FC236}">
                <a16:creationId xmlns:a16="http://schemas.microsoft.com/office/drawing/2014/main" id="{320F206C-2550-411F-ABD7-307FBE157B76}"/>
              </a:ext>
            </a:extLst>
          </xdr:cNvPr>
          <xdr:cNvSpPr txBox="1"/>
        </xdr:nvSpPr>
        <xdr:spPr>
          <a:xfrm>
            <a:off x="11764282" y="20542703"/>
            <a:ext cx="3235512" cy="6504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total is calculated at the bottom of each processing worksheet and is linked to the relevant</a:t>
            </a:r>
            <a:r>
              <a:rPr lang="en-GB" sz="1100" baseline="0"/>
              <a:t> Sum</a:t>
            </a:r>
            <a:r>
              <a:rPr lang="en-GB" sz="1100"/>
              <a:t>mary worksheet to provide the result.</a:t>
            </a:r>
          </a:p>
        </xdr:txBody>
      </xdr:sp>
      <xdr:sp macro="" textlink="">
        <xdr:nvSpPr>
          <xdr:cNvPr id="799" name="Rectangle 92">
            <a:extLst>
              <a:ext uri="{FF2B5EF4-FFF2-40B4-BE49-F238E27FC236}">
                <a16:creationId xmlns:a16="http://schemas.microsoft.com/office/drawing/2014/main" id="{A76ADB7C-9270-4F8F-AD9D-CCB31706C4D7}"/>
              </a:ext>
            </a:extLst>
          </xdr:cNvPr>
          <xdr:cNvSpPr/>
        </xdr:nvSpPr>
        <xdr:spPr>
          <a:xfrm>
            <a:off x="14134949" y="19467548"/>
            <a:ext cx="1663141" cy="28301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794" name="Straight Arrow Connector 88">
            <a:extLst>
              <a:ext uri="{FF2B5EF4-FFF2-40B4-BE49-F238E27FC236}">
                <a16:creationId xmlns:a16="http://schemas.microsoft.com/office/drawing/2014/main" id="{C12A26EC-85FF-45A0-BAA5-208C78741890}"/>
              </a:ext>
            </a:extLst>
          </xdr:cNvPr>
          <xdr:cNvCxnSpPr>
            <a:stCxn id="796" idx="0"/>
          </xdr:cNvCxnSpPr>
        </xdr:nvCxnSpPr>
        <xdr:spPr>
          <a:xfrm flipV="1">
            <a:off x="13382039" y="19862704"/>
            <a:ext cx="771342" cy="6799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257175</xdr:colOff>
      <xdr:row>121</xdr:row>
      <xdr:rowOff>38100</xdr:rowOff>
    </xdr:from>
    <xdr:to>
      <xdr:col>14</xdr:col>
      <xdr:colOff>95250</xdr:colOff>
      <xdr:row>125</xdr:row>
      <xdr:rowOff>133350</xdr:rowOff>
    </xdr:to>
    <xdr:sp macro="" textlink="">
      <xdr:nvSpPr>
        <xdr:cNvPr id="80" name="TextBox 7">
          <a:extLst>
            <a:ext uri="{FF2B5EF4-FFF2-40B4-BE49-F238E27FC236}">
              <a16:creationId xmlns:a16="http://schemas.microsoft.com/office/drawing/2014/main" id="{51A0F5C6-24F7-41A3-A6E1-EB7699041926}"/>
            </a:ext>
          </a:extLst>
        </xdr:cNvPr>
        <xdr:cNvSpPr txBox="1"/>
      </xdr:nvSpPr>
      <xdr:spPr>
        <a:xfrm>
          <a:off x="5133975" y="23650575"/>
          <a:ext cx="3495675" cy="8191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 </a:t>
          </a:r>
          <a:r>
            <a:rPr lang="en-GB" sz="1100" baseline="0">
              <a:solidFill>
                <a:schemeClr val="dk1"/>
              </a:solidFill>
              <a:effectLst/>
              <a:latin typeface="+mn-lt"/>
              <a:ea typeface="+mn-ea"/>
              <a:cs typeface="+mn-cs"/>
            </a:rPr>
            <a:t>The capture rate is used to calculate the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captured in the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sequestration category.</a:t>
          </a:r>
          <a:endParaRPr lang="en-GB" sz="1100"/>
        </a:p>
      </xdr:txBody>
    </xdr:sp>
    <xdr:clientData/>
  </xdr:twoCellAnchor>
  <xdr:twoCellAnchor>
    <xdr:from>
      <xdr:col>1</xdr:col>
      <xdr:colOff>0</xdr:colOff>
      <xdr:row>58</xdr:row>
      <xdr:rowOff>135163</xdr:rowOff>
    </xdr:from>
    <xdr:to>
      <xdr:col>29</xdr:col>
      <xdr:colOff>227489</xdr:colOff>
      <xdr:row>70</xdr:row>
      <xdr:rowOff>130368</xdr:rowOff>
    </xdr:to>
    <xdr:grpSp>
      <xdr:nvGrpSpPr>
        <xdr:cNvPr id="461" name="Group 460">
          <a:extLst>
            <a:ext uri="{FF2B5EF4-FFF2-40B4-BE49-F238E27FC236}">
              <a16:creationId xmlns:a16="http://schemas.microsoft.com/office/drawing/2014/main" id="{104FF39D-F59B-431B-8D36-5E751171A5DF}"/>
            </a:ext>
          </a:extLst>
        </xdr:cNvPr>
        <xdr:cNvGrpSpPr/>
      </xdr:nvGrpSpPr>
      <xdr:grpSpPr>
        <a:xfrm>
          <a:off x="609600" y="12066178"/>
          <a:ext cx="17296289" cy="2184050"/>
          <a:chOff x="612321" y="11660413"/>
          <a:chExt cx="17372489" cy="2131526"/>
        </a:xfrm>
      </xdr:grpSpPr>
      <xdr:pic>
        <xdr:nvPicPr>
          <xdr:cNvPr id="43" name="Picture 42">
            <a:extLst>
              <a:ext uri="{FF2B5EF4-FFF2-40B4-BE49-F238E27FC236}">
                <a16:creationId xmlns:a16="http://schemas.microsoft.com/office/drawing/2014/main" id="{54464ABD-03D6-453F-A6FF-5BBE5336C093}"/>
              </a:ext>
            </a:extLst>
          </xdr:cNvPr>
          <xdr:cNvPicPr>
            <a:picLocks noChangeAspect="1"/>
          </xdr:cNvPicPr>
        </xdr:nvPicPr>
        <xdr:blipFill>
          <a:blip xmlns:r="http://schemas.openxmlformats.org/officeDocument/2006/relationships" r:embed="rId5"/>
          <a:stretch>
            <a:fillRect/>
          </a:stretch>
        </xdr:blipFill>
        <xdr:spPr>
          <a:xfrm>
            <a:off x="619578" y="12420145"/>
            <a:ext cx="17356954" cy="1371794"/>
          </a:xfrm>
          <a:prstGeom prst="rect">
            <a:avLst/>
          </a:prstGeom>
        </xdr:spPr>
      </xdr:pic>
      <xdr:pic>
        <xdr:nvPicPr>
          <xdr:cNvPr id="67" name="Picture 66">
            <a:extLst>
              <a:ext uri="{FF2B5EF4-FFF2-40B4-BE49-F238E27FC236}">
                <a16:creationId xmlns:a16="http://schemas.microsoft.com/office/drawing/2014/main" id="{A11902EE-D9DD-43AA-AA32-3850E4C7245B}"/>
              </a:ext>
            </a:extLst>
          </xdr:cNvPr>
          <xdr:cNvPicPr>
            <a:picLocks noChangeAspect="1"/>
          </xdr:cNvPicPr>
        </xdr:nvPicPr>
        <xdr:blipFill rotWithShape="1">
          <a:blip xmlns:r="http://schemas.openxmlformats.org/officeDocument/2006/relationships" r:embed="rId4"/>
          <a:srcRect t="15398" b="50240"/>
          <a:stretch/>
        </xdr:blipFill>
        <xdr:spPr>
          <a:xfrm>
            <a:off x="612321" y="11660413"/>
            <a:ext cx="17372489" cy="860743"/>
          </a:xfrm>
          <a:prstGeom prst="rect">
            <a:avLst/>
          </a:prstGeom>
        </xdr:spPr>
      </xdr:pic>
    </xdr:grpSp>
    <xdr:clientData/>
  </xdr:twoCellAnchor>
  <xdr:twoCellAnchor>
    <xdr:from>
      <xdr:col>1</xdr:col>
      <xdr:colOff>0</xdr:colOff>
      <xdr:row>101</xdr:row>
      <xdr:rowOff>149677</xdr:rowOff>
    </xdr:from>
    <xdr:to>
      <xdr:col>29</xdr:col>
      <xdr:colOff>227489</xdr:colOff>
      <xdr:row>106</xdr:row>
      <xdr:rowOff>173595</xdr:rowOff>
    </xdr:to>
    <xdr:pic>
      <xdr:nvPicPr>
        <xdr:cNvPr id="70" name="Picture 69">
          <a:extLst>
            <a:ext uri="{FF2B5EF4-FFF2-40B4-BE49-F238E27FC236}">
              <a16:creationId xmlns:a16="http://schemas.microsoft.com/office/drawing/2014/main" id="{196800EA-F951-4E70-BDF9-33B24CDC092F}"/>
            </a:ext>
          </a:extLst>
        </xdr:cNvPr>
        <xdr:cNvPicPr>
          <a:picLocks noChangeAspect="1"/>
        </xdr:cNvPicPr>
      </xdr:nvPicPr>
      <xdr:blipFill rotWithShape="1">
        <a:blip xmlns:r="http://schemas.openxmlformats.org/officeDocument/2006/relationships" r:embed="rId4"/>
        <a:srcRect t="13198" b="50240"/>
        <a:stretch/>
      </xdr:blipFill>
      <xdr:spPr>
        <a:xfrm>
          <a:off x="613833" y="19877010"/>
          <a:ext cx="17414823" cy="934085"/>
        </a:xfrm>
        <a:prstGeom prst="rect">
          <a:avLst/>
        </a:prstGeom>
      </xdr:spPr>
    </xdr:pic>
    <xdr:clientData/>
  </xdr:twoCellAnchor>
  <xdr:twoCellAnchor>
    <xdr:from>
      <xdr:col>1</xdr:col>
      <xdr:colOff>0</xdr:colOff>
      <xdr:row>77</xdr:row>
      <xdr:rowOff>3174</xdr:rowOff>
    </xdr:from>
    <xdr:to>
      <xdr:col>29</xdr:col>
      <xdr:colOff>230538</xdr:colOff>
      <xdr:row>100</xdr:row>
      <xdr:rowOff>161654</xdr:rowOff>
    </xdr:to>
    <xdr:grpSp>
      <xdr:nvGrpSpPr>
        <xdr:cNvPr id="458" name="Group 457">
          <a:extLst>
            <a:ext uri="{FF2B5EF4-FFF2-40B4-BE49-F238E27FC236}">
              <a16:creationId xmlns:a16="http://schemas.microsoft.com/office/drawing/2014/main" id="{51E063BD-EF9E-4878-A041-D4AE22231D62}"/>
            </a:ext>
          </a:extLst>
        </xdr:cNvPr>
        <xdr:cNvGrpSpPr/>
      </xdr:nvGrpSpPr>
      <xdr:grpSpPr>
        <a:xfrm>
          <a:off x="609600" y="15424149"/>
          <a:ext cx="17299338" cy="4322810"/>
          <a:chOff x="612321" y="14954250"/>
          <a:chExt cx="17372489" cy="4231914"/>
        </a:xfrm>
      </xdr:grpSpPr>
      <xdr:pic>
        <xdr:nvPicPr>
          <xdr:cNvPr id="69" name="Picture 68">
            <a:extLst>
              <a:ext uri="{FF2B5EF4-FFF2-40B4-BE49-F238E27FC236}">
                <a16:creationId xmlns:a16="http://schemas.microsoft.com/office/drawing/2014/main" id="{76C9D9E8-5F0C-4BB2-B83D-75BF9819B872}"/>
              </a:ext>
            </a:extLst>
          </xdr:cNvPr>
          <xdr:cNvPicPr>
            <a:picLocks noChangeAspect="1"/>
          </xdr:cNvPicPr>
        </xdr:nvPicPr>
        <xdr:blipFill rotWithShape="1">
          <a:blip xmlns:r="http://schemas.openxmlformats.org/officeDocument/2006/relationships" r:embed="rId4"/>
          <a:srcRect t="14298" b="50239"/>
          <a:stretch/>
        </xdr:blipFill>
        <xdr:spPr>
          <a:xfrm>
            <a:off x="612321" y="14954250"/>
            <a:ext cx="17372489" cy="877524"/>
          </a:xfrm>
          <a:prstGeom prst="rect">
            <a:avLst/>
          </a:prstGeom>
        </xdr:spPr>
      </xdr:pic>
      <xdr:grpSp>
        <xdr:nvGrpSpPr>
          <xdr:cNvPr id="25" name="Group 24">
            <a:extLst>
              <a:ext uri="{FF2B5EF4-FFF2-40B4-BE49-F238E27FC236}">
                <a16:creationId xmlns:a16="http://schemas.microsoft.com/office/drawing/2014/main" id="{54F9296A-171C-48E2-B9DA-E8F1EE187C30}"/>
              </a:ext>
            </a:extLst>
          </xdr:cNvPr>
          <xdr:cNvGrpSpPr/>
        </xdr:nvGrpSpPr>
        <xdr:grpSpPr>
          <a:xfrm>
            <a:off x="8618555" y="16232341"/>
            <a:ext cx="6771384" cy="2953823"/>
            <a:chOff x="8586204" y="15241116"/>
            <a:chExt cx="6665500" cy="3720402"/>
          </a:xfrm>
        </xdr:grpSpPr>
        <xdr:sp macro="" textlink="">
          <xdr:nvSpPr>
            <xdr:cNvPr id="802" name="TextBox 75">
              <a:extLst>
                <a:ext uri="{FF2B5EF4-FFF2-40B4-BE49-F238E27FC236}">
                  <a16:creationId xmlns:a16="http://schemas.microsoft.com/office/drawing/2014/main" id="{C6F02EC7-9F47-42ED-9DEB-79132723F0C0}"/>
                </a:ext>
              </a:extLst>
            </xdr:cNvPr>
            <xdr:cNvSpPr txBox="1"/>
          </xdr:nvSpPr>
          <xdr:spPr>
            <a:xfrm>
              <a:off x="11786019" y="18283834"/>
              <a:ext cx="3465685" cy="6776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emissions factor for captured</a:t>
              </a:r>
              <a:r>
                <a:rPr lang="en-GB" sz="1100" baseline="0"/>
                <a:t> carbon will be negative to result in negative emissions for this category.</a:t>
              </a:r>
              <a:endParaRPr lang="en-GB" sz="1100"/>
            </a:p>
          </xdr:txBody>
        </xdr:sp>
        <xdr:cxnSp macro="">
          <xdr:nvCxnSpPr>
            <xdr:cNvPr id="220" name="Straight Arrow Connector 77">
              <a:extLst>
                <a:ext uri="{FF2B5EF4-FFF2-40B4-BE49-F238E27FC236}">
                  <a16:creationId xmlns:a16="http://schemas.microsoft.com/office/drawing/2014/main" id="{04A937D4-AB36-4294-B3CC-25931D0CC6FF}"/>
                </a:ext>
              </a:extLst>
            </xdr:cNvPr>
            <xdr:cNvCxnSpPr>
              <a:stCxn id="802" idx="0"/>
            </xdr:cNvCxnSpPr>
          </xdr:nvCxnSpPr>
          <xdr:spPr>
            <a:xfrm flipV="1">
              <a:off x="13518862" y="17251099"/>
              <a:ext cx="1369605" cy="103273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82" name="Straight Arrow Connector 80">
              <a:extLst>
                <a:ext uri="{FF2B5EF4-FFF2-40B4-BE49-F238E27FC236}">
                  <a16:creationId xmlns:a16="http://schemas.microsoft.com/office/drawing/2014/main" id="{9B9B0303-6B67-43AE-B252-798FA47405D3}"/>
                </a:ext>
              </a:extLst>
            </xdr:cNvPr>
            <xdr:cNvCxnSpPr>
              <a:stCxn id="802" idx="0"/>
            </xdr:cNvCxnSpPr>
          </xdr:nvCxnSpPr>
          <xdr:spPr>
            <a:xfrm flipH="1" flipV="1">
              <a:off x="12970128" y="17369943"/>
              <a:ext cx="548734" cy="91389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0" name="TextBox 75">
              <a:extLst>
                <a:ext uri="{FF2B5EF4-FFF2-40B4-BE49-F238E27FC236}">
                  <a16:creationId xmlns:a16="http://schemas.microsoft.com/office/drawing/2014/main" id="{08756D53-79C4-49D2-88F0-5E53957C88B1}"/>
                </a:ext>
              </a:extLst>
            </xdr:cNvPr>
            <xdr:cNvSpPr txBox="1"/>
          </xdr:nvSpPr>
          <xdr:spPr>
            <a:xfrm>
              <a:off x="8586204" y="17960883"/>
              <a:ext cx="2528233" cy="7867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CO</a:t>
              </a:r>
              <a:r>
                <a:rPr lang="en-GB" sz="1100" baseline="-25000"/>
                <a:t>2</a:t>
              </a:r>
              <a:r>
                <a:rPr lang="en-GB" sz="1100"/>
                <a:t> generated will have a</a:t>
              </a:r>
              <a:r>
                <a:rPr lang="en-GB" sz="1100" baseline="0"/>
                <a:t> GHG intensity of</a:t>
              </a:r>
              <a:r>
                <a:rPr lang="en-GB" sz="1100"/>
                <a:t> 0</a:t>
              </a:r>
              <a:r>
                <a:rPr lang="en-GB" sz="1100" baseline="0"/>
                <a:t> gCO</a:t>
              </a:r>
              <a:r>
                <a:rPr lang="en-GB" sz="1100" baseline="-25000"/>
                <a:t>2</a:t>
              </a:r>
              <a:r>
                <a:rPr lang="en-GB" sz="1100" baseline="0"/>
                <a:t>/kg for biogenic, and 1, 000 gCO</a:t>
              </a:r>
              <a:r>
                <a:rPr lang="en-GB" sz="1100" baseline="-25000"/>
                <a:t>2</a:t>
              </a:r>
              <a:r>
                <a:rPr lang="en-GB" sz="1100" baseline="0"/>
                <a:t>/kg for fossil.</a:t>
              </a:r>
              <a:endParaRPr lang="en-GB" sz="1100"/>
            </a:p>
          </xdr:txBody>
        </xdr:sp>
        <xdr:cxnSp macro="">
          <xdr:nvCxnSpPr>
            <xdr:cNvPr id="41" name="Straight Arrow Connector 80">
              <a:extLst>
                <a:ext uri="{FF2B5EF4-FFF2-40B4-BE49-F238E27FC236}">
                  <a16:creationId xmlns:a16="http://schemas.microsoft.com/office/drawing/2014/main" id="{8704DA61-4D3A-4A32-AFE8-01E8EDA8A8D6}"/>
                </a:ext>
              </a:extLst>
            </xdr:cNvPr>
            <xdr:cNvCxnSpPr>
              <a:stCxn id="40" idx="0"/>
            </xdr:cNvCxnSpPr>
          </xdr:nvCxnSpPr>
          <xdr:spPr>
            <a:xfrm flipV="1">
              <a:off x="9850320" y="15241116"/>
              <a:ext cx="2585942" cy="27197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6846</xdr:colOff>
      <xdr:row>41</xdr:row>
      <xdr:rowOff>78009</xdr:rowOff>
    </xdr:from>
    <xdr:to>
      <xdr:col>29</xdr:col>
      <xdr:colOff>230737</xdr:colOff>
      <xdr:row>57</xdr:row>
      <xdr:rowOff>171702</xdr:rowOff>
    </xdr:to>
    <xdr:grpSp>
      <xdr:nvGrpSpPr>
        <xdr:cNvPr id="3" name="Group 2">
          <a:extLst>
            <a:ext uri="{FF2B5EF4-FFF2-40B4-BE49-F238E27FC236}">
              <a16:creationId xmlns:a16="http://schemas.microsoft.com/office/drawing/2014/main" id="{A9B27359-6CFB-4BEB-9ECF-125885D77F49}"/>
            </a:ext>
          </a:extLst>
        </xdr:cNvPr>
        <xdr:cNvGrpSpPr/>
      </xdr:nvGrpSpPr>
      <xdr:grpSpPr>
        <a:xfrm>
          <a:off x="618351" y="8917209"/>
          <a:ext cx="17290786" cy="2995008"/>
          <a:chOff x="617207" y="8841009"/>
          <a:chExt cx="17226484" cy="2962579"/>
        </a:xfrm>
      </xdr:grpSpPr>
      <xdr:grpSp>
        <xdr:nvGrpSpPr>
          <xdr:cNvPr id="31" name="Group 30">
            <a:extLst>
              <a:ext uri="{FF2B5EF4-FFF2-40B4-BE49-F238E27FC236}">
                <a16:creationId xmlns:a16="http://schemas.microsoft.com/office/drawing/2014/main" id="{FC4DCCCD-CF3B-4007-B065-528C31F4FB10}"/>
              </a:ext>
            </a:extLst>
          </xdr:cNvPr>
          <xdr:cNvGrpSpPr/>
        </xdr:nvGrpSpPr>
        <xdr:grpSpPr>
          <a:xfrm>
            <a:off x="617207" y="8841009"/>
            <a:ext cx="17226484" cy="2962579"/>
            <a:chOff x="623820" y="8705793"/>
            <a:chExt cx="17237020" cy="3807689"/>
          </a:xfrm>
        </xdr:grpSpPr>
        <xdr:grpSp>
          <xdr:nvGrpSpPr>
            <xdr:cNvPr id="36" name="Group 35">
              <a:extLst>
                <a:ext uri="{FF2B5EF4-FFF2-40B4-BE49-F238E27FC236}">
                  <a16:creationId xmlns:a16="http://schemas.microsoft.com/office/drawing/2014/main" id="{6B00DE6B-E9F2-45B6-9FA8-42D8E2A6D745}"/>
                </a:ext>
              </a:extLst>
            </xdr:cNvPr>
            <xdr:cNvGrpSpPr/>
          </xdr:nvGrpSpPr>
          <xdr:grpSpPr>
            <a:xfrm>
              <a:off x="9282678" y="11627525"/>
              <a:ext cx="8096221" cy="885957"/>
              <a:chOff x="9310102" y="11599744"/>
              <a:chExt cx="8120220" cy="835961"/>
            </a:xfrm>
          </xdr:grpSpPr>
          <xdr:sp macro="" textlink="">
            <xdr:nvSpPr>
              <xdr:cNvPr id="6" name="TextBox 64">
                <a:extLst>
                  <a:ext uri="{FF2B5EF4-FFF2-40B4-BE49-F238E27FC236}">
                    <a16:creationId xmlns:a16="http://schemas.microsoft.com/office/drawing/2014/main" id="{CC5B5F2A-5BE1-4BA6-9B6A-E926F9E72E90}"/>
                  </a:ext>
                </a:extLst>
              </xdr:cNvPr>
              <xdr:cNvSpPr txBox="1"/>
            </xdr:nvSpPr>
            <xdr:spPr>
              <a:xfrm>
                <a:off x="9310102" y="11599744"/>
                <a:ext cx="4151874" cy="7442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sp macro="" textlink="">
            <xdr:nvSpPr>
              <xdr:cNvPr id="801" name="TextBox 69">
                <a:extLst>
                  <a:ext uri="{FF2B5EF4-FFF2-40B4-BE49-F238E27FC236}">
                    <a16:creationId xmlns:a16="http://schemas.microsoft.com/office/drawing/2014/main" id="{C55747E7-F778-48B7-BED8-DA06F642957F}"/>
                  </a:ext>
                </a:extLst>
              </xdr:cNvPr>
              <xdr:cNvSpPr txBox="1"/>
            </xdr:nvSpPr>
            <xdr:spPr>
              <a:xfrm>
                <a:off x="15245081" y="11840410"/>
                <a:ext cx="2185241" cy="59529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total emissions from each category is calculated here.</a:t>
                </a:r>
              </a:p>
            </xdr:txBody>
          </xdr:sp>
        </xdr:grpSp>
        <xdr:pic>
          <xdr:nvPicPr>
            <xdr:cNvPr id="59" name="Picture 58">
              <a:extLst>
                <a:ext uri="{FF2B5EF4-FFF2-40B4-BE49-F238E27FC236}">
                  <a16:creationId xmlns:a16="http://schemas.microsoft.com/office/drawing/2014/main" id="{66B9F30A-8B2F-4516-B753-874C737C48B9}"/>
                </a:ext>
              </a:extLst>
            </xdr:cNvPr>
            <xdr:cNvPicPr>
              <a:picLocks noChangeAspect="1"/>
            </xdr:cNvPicPr>
          </xdr:nvPicPr>
          <xdr:blipFill rotWithShape="1">
            <a:blip xmlns:r="http://schemas.openxmlformats.org/officeDocument/2006/relationships" r:embed="rId4"/>
            <a:srcRect t="14298" b="50239"/>
            <a:stretch/>
          </xdr:blipFill>
          <xdr:spPr>
            <a:xfrm>
              <a:off x="623820" y="8705793"/>
              <a:ext cx="17237020" cy="901896"/>
            </a:xfrm>
            <a:prstGeom prst="rect">
              <a:avLst/>
            </a:prstGeom>
          </xdr:spPr>
        </xdr:pic>
      </xdr:grpSp>
      <xdr:sp macro="" textlink="">
        <xdr:nvSpPr>
          <xdr:cNvPr id="54" name="Rectangle 92">
            <a:extLst>
              <a:ext uri="{FF2B5EF4-FFF2-40B4-BE49-F238E27FC236}">
                <a16:creationId xmlns:a16="http://schemas.microsoft.com/office/drawing/2014/main" id="{FE0E365D-BA33-4817-8A61-3364D6056831}"/>
              </a:ext>
            </a:extLst>
          </xdr:cNvPr>
          <xdr:cNvSpPr/>
        </xdr:nvSpPr>
        <xdr:spPr>
          <a:xfrm>
            <a:off x="14754955" y="9544652"/>
            <a:ext cx="994569" cy="18097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25</xdr:col>
      <xdr:colOff>582084</xdr:colOff>
      <xdr:row>46</xdr:row>
      <xdr:rowOff>158750</xdr:rowOff>
    </xdr:from>
    <xdr:to>
      <xdr:col>26</xdr:col>
      <xdr:colOff>485314</xdr:colOff>
      <xdr:row>55</xdr:row>
      <xdr:rowOff>37290</xdr:rowOff>
    </xdr:to>
    <xdr:cxnSp macro="">
      <xdr:nvCxnSpPr>
        <xdr:cNvPr id="71" name="Straight Arrow Connector 70">
          <a:extLst>
            <a:ext uri="{FF2B5EF4-FFF2-40B4-BE49-F238E27FC236}">
              <a16:creationId xmlns:a16="http://schemas.microsoft.com/office/drawing/2014/main" id="{3E47F028-2A30-46CF-B943-546F39C3CA41}"/>
            </a:ext>
          </a:extLst>
        </xdr:cNvPr>
        <xdr:cNvCxnSpPr>
          <a:stCxn id="801" idx="0"/>
        </xdr:cNvCxnSpPr>
      </xdr:nvCxnSpPr>
      <xdr:spPr>
        <a:xfrm flipH="1" flipV="1">
          <a:off x="15927917" y="9874250"/>
          <a:ext cx="517064" cy="149779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407818</xdr:colOff>
      <xdr:row>49</xdr:row>
      <xdr:rowOff>160113</xdr:rowOff>
    </xdr:from>
    <xdr:to>
      <xdr:col>22</xdr:col>
      <xdr:colOff>340179</xdr:colOff>
      <xdr:row>54</xdr:row>
      <xdr:rowOff>9208</xdr:rowOff>
    </xdr:to>
    <xdr:cxnSp macro="">
      <xdr:nvCxnSpPr>
        <xdr:cNvPr id="75" name="Straight Arrow Connector 74">
          <a:extLst>
            <a:ext uri="{FF2B5EF4-FFF2-40B4-BE49-F238E27FC236}">
              <a16:creationId xmlns:a16="http://schemas.microsoft.com/office/drawing/2014/main" id="{5F985EE3-E979-4672-8A79-BAF8A82DA014}"/>
            </a:ext>
          </a:extLst>
        </xdr:cNvPr>
        <xdr:cNvCxnSpPr>
          <a:stCxn id="6" idx="0"/>
        </xdr:cNvCxnSpPr>
      </xdr:nvCxnSpPr>
      <xdr:spPr>
        <a:xfrm flipV="1">
          <a:off x="11337756" y="10363769"/>
          <a:ext cx="2361236" cy="74206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407818</xdr:colOff>
      <xdr:row>50</xdr:row>
      <xdr:rowOff>105684</xdr:rowOff>
    </xdr:from>
    <xdr:to>
      <xdr:col>20</xdr:col>
      <xdr:colOff>435428</xdr:colOff>
      <xdr:row>54</xdr:row>
      <xdr:rowOff>9208</xdr:rowOff>
    </xdr:to>
    <xdr:cxnSp macro="">
      <xdr:nvCxnSpPr>
        <xdr:cNvPr id="78" name="Straight Arrow Connector 77">
          <a:extLst>
            <a:ext uri="{FF2B5EF4-FFF2-40B4-BE49-F238E27FC236}">
              <a16:creationId xmlns:a16="http://schemas.microsoft.com/office/drawing/2014/main" id="{0AA123F9-2C84-44EF-9FD9-3CB83CBD2C5F}"/>
            </a:ext>
          </a:extLst>
        </xdr:cNvPr>
        <xdr:cNvCxnSpPr>
          <a:stCxn id="6" idx="0"/>
        </xdr:cNvCxnSpPr>
      </xdr:nvCxnSpPr>
      <xdr:spPr>
        <a:xfrm flipV="1">
          <a:off x="11337756" y="10487934"/>
          <a:ext cx="1242047" cy="6178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52917</xdr:colOff>
      <xdr:row>114</xdr:row>
      <xdr:rowOff>169333</xdr:rowOff>
    </xdr:from>
    <xdr:to>
      <xdr:col>11</xdr:col>
      <xdr:colOff>174625</xdr:colOff>
      <xdr:row>121</xdr:row>
      <xdr:rowOff>38100</xdr:rowOff>
    </xdr:to>
    <xdr:cxnSp macro="">
      <xdr:nvCxnSpPr>
        <xdr:cNvPr id="81" name="Straight Arrow Connector 88">
          <a:extLst>
            <a:ext uri="{FF2B5EF4-FFF2-40B4-BE49-F238E27FC236}">
              <a16:creationId xmlns:a16="http://schemas.microsoft.com/office/drawing/2014/main" id="{311D39B3-3E54-45C1-BF6E-247178DDE866}"/>
            </a:ext>
          </a:extLst>
        </xdr:cNvPr>
        <xdr:cNvCxnSpPr>
          <a:stCxn id="80" idx="0"/>
        </xdr:cNvCxnSpPr>
      </xdr:nvCxnSpPr>
      <xdr:spPr>
        <a:xfrm flipH="1" flipV="1">
          <a:off x="4349750" y="22256750"/>
          <a:ext cx="2577042" cy="11387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13</xdr:col>
      <xdr:colOff>666750</xdr:colOff>
      <xdr:row>20</xdr:row>
      <xdr:rowOff>63500</xdr:rowOff>
    </xdr:from>
    <xdr:to>
      <xdr:col>13</xdr:col>
      <xdr:colOff>997760</xdr:colOff>
      <xdr:row>23</xdr:row>
      <xdr:rowOff>159658</xdr:rowOff>
    </xdr:to>
    <xdr:cxnSp macro="">
      <xdr:nvCxnSpPr>
        <xdr:cNvPr id="27" name="Straight Arrow Connector 5">
          <a:extLst>
            <a:ext uri="{FF2B5EF4-FFF2-40B4-BE49-F238E27FC236}">
              <a16:creationId xmlns:a16="http://schemas.microsoft.com/office/drawing/2014/main" id="{818D767E-4915-4132-AF26-1C8AAE27E1CB}"/>
            </a:ext>
          </a:extLst>
        </xdr:cNvPr>
        <xdr:cNvCxnSpPr>
          <a:stCxn id="20" idx="0"/>
        </xdr:cNvCxnSpPr>
      </xdr:nvCxnSpPr>
      <xdr:spPr>
        <a:xfrm flipH="1" flipV="1">
          <a:off x="16351250" y="5048250"/>
          <a:ext cx="331010" cy="6200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xdr:colOff>
      <xdr:row>7</xdr:row>
      <xdr:rowOff>95250</xdr:rowOff>
    </xdr:from>
    <xdr:to>
      <xdr:col>13</xdr:col>
      <xdr:colOff>120650</xdr:colOff>
      <xdr:row>18</xdr:row>
      <xdr:rowOff>120650</xdr:rowOff>
    </xdr:to>
    <xdr:cxnSp macro="">
      <xdr:nvCxnSpPr>
        <xdr:cNvPr id="35" name="Straight Arrow Connector 2">
          <a:extLst>
            <a:ext uri="{FF2B5EF4-FFF2-40B4-BE49-F238E27FC236}">
              <a16:creationId xmlns:a16="http://schemas.microsoft.com/office/drawing/2014/main" id="{9683D2C4-8F92-4A79-A4A0-6D7370CDF4AD}"/>
            </a:ext>
          </a:extLst>
        </xdr:cNvPr>
        <xdr:cNvCxnSpPr/>
      </xdr:nvCxnSpPr>
      <xdr:spPr>
        <a:xfrm>
          <a:off x="15211425" y="2809875"/>
          <a:ext cx="587375" cy="22066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19</xdr:row>
      <xdr:rowOff>79375</xdr:rowOff>
    </xdr:from>
    <xdr:to>
      <xdr:col>12</xdr:col>
      <xdr:colOff>492125</xdr:colOff>
      <xdr:row>19</xdr:row>
      <xdr:rowOff>79375</xdr:rowOff>
    </xdr:to>
    <xdr:cxnSp macro="">
      <xdr:nvCxnSpPr>
        <xdr:cNvPr id="26" name="Straight Arrow Connector 3">
          <a:extLst>
            <a:ext uri="{FF2B5EF4-FFF2-40B4-BE49-F238E27FC236}">
              <a16:creationId xmlns:a16="http://schemas.microsoft.com/office/drawing/2014/main" id="{77FE4ABF-8EBA-41F6-8A95-60A852CDF680}"/>
            </a:ext>
          </a:extLst>
        </xdr:cNvPr>
        <xdr:cNvCxnSpPr/>
      </xdr:nvCxnSpPr>
      <xdr:spPr>
        <a:xfrm>
          <a:off x="14065624" y="5207187"/>
          <a:ext cx="49212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968377</xdr:colOff>
      <xdr:row>5</xdr:row>
      <xdr:rowOff>55883</xdr:rowOff>
    </xdr:from>
    <xdr:to>
      <xdr:col>13</xdr:col>
      <xdr:colOff>998946</xdr:colOff>
      <xdr:row>7</xdr:row>
      <xdr:rowOff>28484</xdr:rowOff>
    </xdr:to>
    <xdr:cxnSp macro="">
      <xdr:nvCxnSpPr>
        <xdr:cNvPr id="11" name="Straight Arrow Connector 20">
          <a:extLst>
            <a:ext uri="{FF2B5EF4-FFF2-40B4-BE49-F238E27FC236}">
              <a16:creationId xmlns:a16="http://schemas.microsoft.com/office/drawing/2014/main" id="{D195599F-DC5B-4203-8C8E-B7EF68F2EDE9}"/>
            </a:ext>
          </a:extLst>
        </xdr:cNvPr>
        <xdr:cNvCxnSpPr>
          <a:cxnSpLocks/>
          <a:stCxn id="16" idx="0"/>
        </xdr:cNvCxnSpPr>
      </xdr:nvCxnSpPr>
      <xdr:spPr>
        <a:xfrm flipH="1" flipV="1">
          <a:off x="14036677" y="2303783"/>
          <a:ext cx="1525994" cy="34407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xdr:colOff>
      <xdr:row>7</xdr:row>
      <xdr:rowOff>79375</xdr:rowOff>
    </xdr:from>
    <xdr:to>
      <xdr:col>11</xdr:col>
      <xdr:colOff>31750</xdr:colOff>
      <xdr:row>7</xdr:row>
      <xdr:rowOff>79375</xdr:rowOff>
    </xdr:to>
    <xdr:cxnSp macro="">
      <xdr:nvCxnSpPr>
        <xdr:cNvPr id="34" name="Straight Arrow Connector 5">
          <a:extLst>
            <a:ext uri="{FF2B5EF4-FFF2-40B4-BE49-F238E27FC236}">
              <a16:creationId xmlns:a16="http://schemas.microsoft.com/office/drawing/2014/main" id="{DD35D63D-C537-4D03-9989-B88F818072E1}"/>
            </a:ext>
          </a:extLst>
        </xdr:cNvPr>
        <xdr:cNvCxnSpPr/>
      </xdr:nvCxnSpPr>
      <xdr:spPr>
        <a:xfrm flipV="1">
          <a:off x="12157822" y="2688104"/>
          <a:ext cx="953434"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1044123</xdr:colOff>
      <xdr:row>24</xdr:row>
      <xdr:rowOff>124732</xdr:rowOff>
    </xdr:from>
    <xdr:to>
      <xdr:col>16</xdr:col>
      <xdr:colOff>560161</xdr:colOff>
      <xdr:row>25</xdr:row>
      <xdr:rowOff>167822</xdr:rowOff>
    </xdr:to>
    <xdr:cxnSp macro="">
      <xdr:nvCxnSpPr>
        <xdr:cNvPr id="25" name="Straight Arrow Connector 5">
          <a:extLst>
            <a:ext uri="{FF2B5EF4-FFF2-40B4-BE49-F238E27FC236}">
              <a16:creationId xmlns:a16="http://schemas.microsoft.com/office/drawing/2014/main" id="{6E30B32F-D925-4A66-94FB-3C61D41ADA5C}"/>
            </a:ext>
          </a:extLst>
        </xdr:cNvPr>
        <xdr:cNvCxnSpPr/>
      </xdr:nvCxnSpPr>
      <xdr:spPr>
        <a:xfrm flipH="1">
          <a:off x="19268623" y="5807982"/>
          <a:ext cx="976538" cy="21771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273512</xdr:colOff>
      <xdr:row>24</xdr:row>
      <xdr:rowOff>97628</xdr:rowOff>
    </xdr:from>
    <xdr:to>
      <xdr:col>18</xdr:col>
      <xdr:colOff>666750</xdr:colOff>
      <xdr:row>25</xdr:row>
      <xdr:rowOff>161925</xdr:rowOff>
    </xdr:to>
    <xdr:cxnSp macro="">
      <xdr:nvCxnSpPr>
        <xdr:cNvPr id="5" name="Straight Arrow Connector 5">
          <a:extLst>
            <a:ext uri="{FF2B5EF4-FFF2-40B4-BE49-F238E27FC236}">
              <a16:creationId xmlns:a16="http://schemas.microsoft.com/office/drawing/2014/main" id="{9A9C841A-0239-4B7B-BCB2-2C6C154E8389}"/>
            </a:ext>
          </a:extLst>
        </xdr:cNvPr>
        <xdr:cNvCxnSpPr>
          <a:cxnSpLocks/>
          <a:stCxn id="4" idx="2"/>
        </xdr:cNvCxnSpPr>
      </xdr:nvCxnSpPr>
      <xdr:spPr>
        <a:xfrm>
          <a:off x="21419012" y="5971378"/>
          <a:ext cx="1520363" cy="2389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340632</xdr:colOff>
      <xdr:row>23</xdr:row>
      <xdr:rowOff>162833</xdr:rowOff>
    </xdr:from>
    <xdr:to>
      <xdr:col>14</xdr:col>
      <xdr:colOff>848438</xdr:colOff>
      <xdr:row>27</xdr:row>
      <xdr:rowOff>101257</xdr:rowOff>
    </xdr:to>
    <xdr:sp macro="" textlink="">
      <xdr:nvSpPr>
        <xdr:cNvPr id="20" name="TextBox 9">
          <a:extLst>
            <a:ext uri="{FF2B5EF4-FFF2-40B4-BE49-F238E27FC236}">
              <a16:creationId xmlns:a16="http://schemas.microsoft.com/office/drawing/2014/main" id="{82A1001E-3628-4E42-AFDE-4ECF43762C4C}"/>
            </a:ext>
          </a:extLst>
        </xdr:cNvPr>
        <xdr:cNvSpPr txBox="1"/>
      </xdr:nvSpPr>
      <xdr:spPr>
        <a:xfrm>
          <a:off x="15517132" y="5671458"/>
          <a:ext cx="2333431" cy="6369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472620</xdr:colOff>
      <xdr:row>17</xdr:row>
      <xdr:rowOff>80284</xdr:rowOff>
    </xdr:from>
    <xdr:to>
      <xdr:col>18</xdr:col>
      <xdr:colOff>380999</xdr:colOff>
      <xdr:row>20</xdr:row>
      <xdr:rowOff>46265</xdr:rowOff>
    </xdr:to>
    <xdr:sp macro="" textlink="">
      <xdr:nvSpPr>
        <xdr:cNvPr id="6" name="TextBox 10">
          <a:extLst>
            <a:ext uri="{FF2B5EF4-FFF2-40B4-BE49-F238E27FC236}">
              <a16:creationId xmlns:a16="http://schemas.microsoft.com/office/drawing/2014/main" id="{B545ABD1-DA45-4BF7-A720-34462CCE1766}"/>
            </a:ext>
          </a:extLst>
        </xdr:cNvPr>
        <xdr:cNvSpPr txBox="1"/>
      </xdr:nvSpPr>
      <xdr:spPr>
        <a:xfrm>
          <a:off x="18697120" y="4541159"/>
          <a:ext cx="395650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12</xdr:col>
      <xdr:colOff>369116</xdr:colOff>
      <xdr:row>7</xdr:row>
      <xdr:rowOff>28484</xdr:rowOff>
    </xdr:from>
    <xdr:to>
      <xdr:col>14</xdr:col>
      <xdr:colOff>847725</xdr:colOff>
      <xdr:row>10</xdr:row>
      <xdr:rowOff>142875</xdr:rowOff>
    </xdr:to>
    <xdr:sp macro="" textlink="">
      <xdr:nvSpPr>
        <xdr:cNvPr id="16" name="TextBox 13">
          <a:extLst>
            <a:ext uri="{FF2B5EF4-FFF2-40B4-BE49-F238E27FC236}">
              <a16:creationId xmlns:a16="http://schemas.microsoft.com/office/drawing/2014/main" id="{932511E3-9615-4ECF-B9BE-F5F88684F658}"/>
            </a:ext>
          </a:extLst>
        </xdr:cNvPr>
        <xdr:cNvSpPr txBox="1"/>
      </xdr:nvSpPr>
      <xdr:spPr>
        <a:xfrm>
          <a:off x="14418491" y="2647859"/>
          <a:ext cx="2288359" cy="65731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0</xdr:colOff>
      <xdr:row>18</xdr:row>
      <xdr:rowOff>153762</xdr:rowOff>
    </xdr:from>
    <xdr:to>
      <xdr:col>15</xdr:col>
      <xdr:colOff>469445</xdr:colOff>
      <xdr:row>19</xdr:row>
      <xdr:rowOff>63500</xdr:rowOff>
    </xdr:to>
    <xdr:cxnSp macro="">
      <xdr:nvCxnSpPr>
        <xdr:cNvPr id="28" name="Straight Arrow Connector 5">
          <a:extLst>
            <a:ext uri="{FF2B5EF4-FFF2-40B4-BE49-F238E27FC236}">
              <a16:creationId xmlns:a16="http://schemas.microsoft.com/office/drawing/2014/main" id="{F39ED327-7A6D-4310-8E35-012E52AD62C6}"/>
            </a:ext>
          </a:extLst>
        </xdr:cNvPr>
        <xdr:cNvCxnSpPr>
          <a:stCxn id="6" idx="1"/>
        </xdr:cNvCxnSpPr>
      </xdr:nvCxnSpPr>
      <xdr:spPr>
        <a:xfrm flipH="1">
          <a:off x="18224500" y="4789262"/>
          <a:ext cx="469445" cy="8436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1127125</xdr:colOff>
      <xdr:row>20</xdr:row>
      <xdr:rowOff>158750</xdr:rowOff>
    </xdr:from>
    <xdr:to>
      <xdr:col>18</xdr:col>
      <xdr:colOff>1213774</xdr:colOff>
      <xdr:row>24</xdr:row>
      <xdr:rowOff>97628</xdr:rowOff>
    </xdr:to>
    <xdr:sp macro="" textlink="">
      <xdr:nvSpPr>
        <xdr:cNvPr id="4" name="TextBox 27">
          <a:extLst>
            <a:ext uri="{FF2B5EF4-FFF2-40B4-BE49-F238E27FC236}">
              <a16:creationId xmlns:a16="http://schemas.microsoft.com/office/drawing/2014/main" id="{F5EEC906-33B9-4DA5-A254-F09E39C2F5A2}"/>
            </a:ext>
          </a:extLst>
        </xdr:cNvPr>
        <xdr:cNvSpPr txBox="1"/>
      </xdr:nvSpPr>
      <xdr:spPr>
        <a:xfrm>
          <a:off x="19351625" y="5334000"/>
          <a:ext cx="413477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64B83D81-3563-4474-B7DC-88FAC6AC02EB}"/>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13</xdr:col>
      <xdr:colOff>783227</xdr:colOff>
      <xdr:row>20</xdr:row>
      <xdr:rowOff>85453</xdr:rowOff>
    </xdr:from>
    <xdr:to>
      <xdr:col>13</xdr:col>
      <xdr:colOff>883687</xdr:colOff>
      <xdr:row>23</xdr:row>
      <xdr:rowOff>165192</xdr:rowOff>
    </xdr:to>
    <xdr:cxnSp macro="">
      <xdr:nvCxnSpPr>
        <xdr:cNvPr id="6" name="Straight Arrow Connector 5">
          <a:extLst>
            <a:ext uri="{FF2B5EF4-FFF2-40B4-BE49-F238E27FC236}">
              <a16:creationId xmlns:a16="http://schemas.microsoft.com/office/drawing/2014/main" id="{20C39E9F-488C-4AB4-9183-6E95AF12F0A5}"/>
            </a:ext>
          </a:extLst>
        </xdr:cNvPr>
        <xdr:cNvCxnSpPr>
          <a:stCxn id="21" idx="0"/>
        </xdr:cNvCxnSpPr>
      </xdr:nvCxnSpPr>
      <xdr:spPr>
        <a:xfrm flipH="1" flipV="1">
          <a:off x="15370084" y="4997632"/>
          <a:ext cx="100460" cy="61041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29482</xdr:colOff>
      <xdr:row>7</xdr:row>
      <xdr:rowOff>94342</xdr:rowOff>
    </xdr:from>
    <xdr:to>
      <xdr:col>13</xdr:col>
      <xdr:colOff>210912</xdr:colOff>
      <xdr:row>19</xdr:row>
      <xdr:rowOff>36739</xdr:rowOff>
    </xdr:to>
    <xdr:cxnSp macro="">
      <xdr:nvCxnSpPr>
        <xdr:cNvPr id="3" name="Straight Arrow Connector 2">
          <a:extLst>
            <a:ext uri="{FF2B5EF4-FFF2-40B4-BE49-F238E27FC236}">
              <a16:creationId xmlns:a16="http://schemas.microsoft.com/office/drawing/2014/main" id="{04D83C14-0E86-496D-B2C8-C815D47C975D}"/>
            </a:ext>
          </a:extLst>
        </xdr:cNvPr>
        <xdr:cNvCxnSpPr/>
      </xdr:nvCxnSpPr>
      <xdr:spPr>
        <a:xfrm>
          <a:off x="15193282" y="2808967"/>
          <a:ext cx="686255" cy="230459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10432</xdr:colOff>
      <xdr:row>19</xdr:row>
      <xdr:rowOff>81643</xdr:rowOff>
    </xdr:from>
    <xdr:to>
      <xdr:col>12</xdr:col>
      <xdr:colOff>489857</xdr:colOff>
      <xdr:row>19</xdr:row>
      <xdr:rowOff>81643</xdr:rowOff>
    </xdr:to>
    <xdr:cxnSp macro="">
      <xdr:nvCxnSpPr>
        <xdr:cNvPr id="17" name="Straight Arrow Connector 3">
          <a:extLst>
            <a:ext uri="{FF2B5EF4-FFF2-40B4-BE49-F238E27FC236}">
              <a16:creationId xmlns:a16="http://schemas.microsoft.com/office/drawing/2014/main" id="{D9DDB773-6338-42F3-951D-FBF37131C674}"/>
            </a:ext>
          </a:extLst>
        </xdr:cNvPr>
        <xdr:cNvCxnSpPr/>
      </xdr:nvCxnSpPr>
      <xdr:spPr>
        <a:xfrm flipV="1">
          <a:off x="14076056" y="5209455"/>
          <a:ext cx="47942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11069</xdr:colOff>
      <xdr:row>5</xdr:row>
      <xdr:rowOff>54431</xdr:rowOff>
    </xdr:from>
    <xdr:to>
      <xdr:col>13</xdr:col>
      <xdr:colOff>1074965</xdr:colOff>
      <xdr:row>7</xdr:row>
      <xdr:rowOff>40822</xdr:rowOff>
    </xdr:to>
    <xdr:cxnSp macro="">
      <xdr:nvCxnSpPr>
        <xdr:cNvPr id="26" name="Straight Arrow Connector 20">
          <a:extLst>
            <a:ext uri="{FF2B5EF4-FFF2-40B4-BE49-F238E27FC236}">
              <a16:creationId xmlns:a16="http://schemas.microsoft.com/office/drawing/2014/main" id="{3699E3ED-4702-419A-A119-0EDA436A6F93}"/>
            </a:ext>
          </a:extLst>
        </xdr:cNvPr>
        <xdr:cNvCxnSpPr>
          <a:cxnSpLocks/>
          <a:stCxn id="7" idx="0"/>
        </xdr:cNvCxnSpPr>
      </xdr:nvCxnSpPr>
      <xdr:spPr>
        <a:xfrm flipH="1" flipV="1">
          <a:off x="14080855" y="2299610"/>
          <a:ext cx="1580967" cy="353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30389</xdr:colOff>
      <xdr:row>7</xdr:row>
      <xdr:rowOff>93435</xdr:rowOff>
    </xdr:from>
    <xdr:to>
      <xdr:col>11</xdr:col>
      <xdr:colOff>27215</xdr:colOff>
      <xdr:row>7</xdr:row>
      <xdr:rowOff>93435</xdr:rowOff>
    </xdr:to>
    <xdr:cxnSp macro="">
      <xdr:nvCxnSpPr>
        <xdr:cNvPr id="5" name="Straight Arrow Connector 5">
          <a:extLst>
            <a:ext uri="{FF2B5EF4-FFF2-40B4-BE49-F238E27FC236}">
              <a16:creationId xmlns:a16="http://schemas.microsoft.com/office/drawing/2014/main" id="{130EFCA9-B186-424E-86B4-C7F9F53E4C35}"/>
            </a:ext>
          </a:extLst>
        </xdr:cNvPr>
        <xdr:cNvCxnSpPr/>
      </xdr:nvCxnSpPr>
      <xdr:spPr>
        <a:xfrm>
          <a:off x="13222514" y="2808060"/>
          <a:ext cx="987426"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928462</xdr:colOff>
      <xdr:row>24</xdr:row>
      <xdr:rowOff>139246</xdr:rowOff>
    </xdr:from>
    <xdr:to>
      <xdr:col>16</xdr:col>
      <xdr:colOff>449036</xdr:colOff>
      <xdr:row>25</xdr:row>
      <xdr:rowOff>173718</xdr:rowOff>
    </xdr:to>
    <xdr:cxnSp macro="">
      <xdr:nvCxnSpPr>
        <xdr:cNvPr id="25" name="Straight Arrow Connector 5">
          <a:extLst>
            <a:ext uri="{FF2B5EF4-FFF2-40B4-BE49-F238E27FC236}">
              <a16:creationId xmlns:a16="http://schemas.microsoft.com/office/drawing/2014/main" id="{7132B7F0-B518-40BE-BDE7-E02C7A4ADE69}"/>
            </a:ext>
          </a:extLst>
        </xdr:cNvPr>
        <xdr:cNvCxnSpPr/>
      </xdr:nvCxnSpPr>
      <xdr:spPr>
        <a:xfrm flipH="1">
          <a:off x="19175641" y="5867853"/>
          <a:ext cx="976538" cy="21136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503111</xdr:colOff>
      <xdr:row>24</xdr:row>
      <xdr:rowOff>131374</xdr:rowOff>
    </xdr:from>
    <xdr:to>
      <xdr:col>18</xdr:col>
      <xdr:colOff>152400</xdr:colOff>
      <xdr:row>25</xdr:row>
      <xdr:rowOff>142875</xdr:rowOff>
    </xdr:to>
    <xdr:cxnSp macro="">
      <xdr:nvCxnSpPr>
        <xdr:cNvPr id="9" name="Straight Arrow Connector 5">
          <a:extLst>
            <a:ext uri="{FF2B5EF4-FFF2-40B4-BE49-F238E27FC236}">
              <a16:creationId xmlns:a16="http://schemas.microsoft.com/office/drawing/2014/main" id="{824D1A03-9D12-4849-AC59-8CD6F24011A2}"/>
            </a:ext>
          </a:extLst>
        </xdr:cNvPr>
        <xdr:cNvCxnSpPr>
          <a:cxnSpLocks/>
          <a:stCxn id="8" idx="2"/>
        </xdr:cNvCxnSpPr>
      </xdr:nvCxnSpPr>
      <xdr:spPr>
        <a:xfrm>
          <a:off x="20419886" y="5827324"/>
          <a:ext cx="1211389" cy="19247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239576</xdr:colOff>
      <xdr:row>23</xdr:row>
      <xdr:rowOff>165192</xdr:rowOff>
    </xdr:from>
    <xdr:to>
      <xdr:col>14</xdr:col>
      <xdr:colOff>752190</xdr:colOff>
      <xdr:row>27</xdr:row>
      <xdr:rowOff>81642</xdr:rowOff>
    </xdr:to>
    <xdr:sp macro="" textlink="">
      <xdr:nvSpPr>
        <xdr:cNvPr id="21" name="TextBox 9">
          <a:extLst>
            <a:ext uri="{FF2B5EF4-FFF2-40B4-BE49-F238E27FC236}">
              <a16:creationId xmlns:a16="http://schemas.microsoft.com/office/drawing/2014/main" id="{5FEF52F0-CC63-4F55-94D7-4AC48A81B23A}"/>
            </a:ext>
          </a:extLst>
        </xdr:cNvPr>
        <xdr:cNvSpPr txBox="1"/>
      </xdr:nvSpPr>
      <xdr:spPr>
        <a:xfrm>
          <a:off x="14309362" y="5608049"/>
          <a:ext cx="2322364" cy="6240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479423</xdr:colOff>
      <xdr:row>17</xdr:row>
      <xdr:rowOff>84820</xdr:rowOff>
    </xdr:from>
    <xdr:to>
      <xdr:col>18</xdr:col>
      <xdr:colOff>391431</xdr:colOff>
      <xdr:row>20</xdr:row>
      <xdr:rowOff>43997</xdr:rowOff>
    </xdr:to>
    <xdr:sp macro="" textlink="">
      <xdr:nvSpPr>
        <xdr:cNvPr id="22" name="TextBox 10">
          <a:extLst>
            <a:ext uri="{FF2B5EF4-FFF2-40B4-BE49-F238E27FC236}">
              <a16:creationId xmlns:a16="http://schemas.microsoft.com/office/drawing/2014/main" id="{B39AF5B1-3F31-4123-BE32-2C76FA0EDE98}"/>
            </a:ext>
          </a:extLst>
        </xdr:cNvPr>
        <xdr:cNvSpPr txBox="1"/>
      </xdr:nvSpPr>
      <xdr:spPr>
        <a:xfrm>
          <a:off x="18726602" y="4575177"/>
          <a:ext cx="395332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13</xdr:col>
      <xdr:colOff>0</xdr:colOff>
      <xdr:row>7</xdr:row>
      <xdr:rowOff>40822</xdr:rowOff>
    </xdr:from>
    <xdr:to>
      <xdr:col>14</xdr:col>
      <xdr:colOff>857250</xdr:colOff>
      <xdr:row>10</xdr:row>
      <xdr:rowOff>136071</xdr:rowOff>
    </xdr:to>
    <xdr:sp macro="" textlink="">
      <xdr:nvSpPr>
        <xdr:cNvPr id="7" name="TextBox 13">
          <a:extLst>
            <a:ext uri="{FF2B5EF4-FFF2-40B4-BE49-F238E27FC236}">
              <a16:creationId xmlns:a16="http://schemas.microsoft.com/office/drawing/2014/main" id="{62DAD1BD-AAE6-401F-B324-09D59B8CE6D9}"/>
            </a:ext>
          </a:extLst>
        </xdr:cNvPr>
        <xdr:cNvSpPr txBox="1"/>
      </xdr:nvSpPr>
      <xdr:spPr>
        <a:xfrm>
          <a:off x="14586857" y="2653393"/>
          <a:ext cx="2149929" cy="6259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13607</xdr:colOff>
      <xdr:row>18</xdr:row>
      <xdr:rowOff>156030</xdr:rowOff>
    </xdr:from>
    <xdr:to>
      <xdr:col>15</xdr:col>
      <xdr:colOff>479423</xdr:colOff>
      <xdr:row>19</xdr:row>
      <xdr:rowOff>68036</xdr:rowOff>
    </xdr:to>
    <xdr:cxnSp macro="">
      <xdr:nvCxnSpPr>
        <xdr:cNvPr id="4" name="Straight Arrow Connector 5">
          <a:extLst>
            <a:ext uri="{FF2B5EF4-FFF2-40B4-BE49-F238E27FC236}">
              <a16:creationId xmlns:a16="http://schemas.microsoft.com/office/drawing/2014/main" id="{52025157-3DEB-4FD5-AF9F-E5D79C7F69AD}"/>
            </a:ext>
          </a:extLst>
        </xdr:cNvPr>
        <xdr:cNvCxnSpPr>
          <a:stCxn id="22" idx="1"/>
        </xdr:cNvCxnSpPr>
      </xdr:nvCxnSpPr>
      <xdr:spPr>
        <a:xfrm flipH="1">
          <a:off x="18260786" y="4823280"/>
          <a:ext cx="465816" cy="888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1102179</xdr:colOff>
      <xdr:row>21</xdr:row>
      <xdr:rowOff>27214</xdr:rowOff>
    </xdr:from>
    <xdr:to>
      <xdr:col>18</xdr:col>
      <xdr:colOff>1195632</xdr:colOff>
      <xdr:row>24</xdr:row>
      <xdr:rowOff>127564</xdr:rowOff>
    </xdr:to>
    <xdr:sp macro="" textlink="">
      <xdr:nvSpPr>
        <xdr:cNvPr id="8" name="TextBox 27">
          <a:extLst>
            <a:ext uri="{FF2B5EF4-FFF2-40B4-BE49-F238E27FC236}">
              <a16:creationId xmlns:a16="http://schemas.microsoft.com/office/drawing/2014/main" id="{55C14E26-3589-4BE2-8DD3-053169A7C565}"/>
            </a:ext>
          </a:extLst>
        </xdr:cNvPr>
        <xdr:cNvSpPr txBox="1"/>
      </xdr:nvSpPr>
      <xdr:spPr>
        <a:xfrm>
          <a:off x="19349358" y="5415643"/>
          <a:ext cx="413477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FBE79F08-3835-45AB-86E0-C31985DAD546}"/>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5</xdr:col>
      <xdr:colOff>734786</xdr:colOff>
      <xdr:row>53</xdr:row>
      <xdr:rowOff>145869</xdr:rowOff>
    </xdr:from>
    <xdr:to>
      <xdr:col>7</xdr:col>
      <xdr:colOff>616676</xdr:colOff>
      <xdr:row>56</xdr:row>
      <xdr:rowOff>100783</xdr:rowOff>
    </xdr:to>
    <xdr:sp macro="" textlink="">
      <xdr:nvSpPr>
        <xdr:cNvPr id="18" name="TextBox 7">
          <a:extLst>
            <a:ext uri="{FF2B5EF4-FFF2-40B4-BE49-F238E27FC236}">
              <a16:creationId xmlns:a16="http://schemas.microsoft.com/office/drawing/2014/main" id="{62823CA3-1C84-425C-9549-E8B5481272D2}"/>
            </a:ext>
          </a:extLst>
        </xdr:cNvPr>
        <xdr:cNvSpPr txBox="1"/>
      </xdr:nvSpPr>
      <xdr:spPr>
        <a:xfrm>
          <a:off x="7211786" y="10895512"/>
          <a:ext cx="2684961" cy="4855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Applicants must</a:t>
          </a:r>
          <a:r>
            <a:rPr lang="en-GB" sz="1100" baseline="0">
              <a:solidFill>
                <a:schemeClr val="dk1"/>
              </a:solidFill>
              <a:effectLst/>
              <a:latin typeface="+mn-lt"/>
              <a:ea typeface="+mn-ea"/>
              <a:cs typeface="+mn-cs"/>
            </a:rPr>
            <a:t> include the feedstock split of biogenic vs. fossil (LHV energy basis)</a:t>
          </a:r>
          <a:endParaRPr lang="en-GB">
            <a:effectLst/>
          </a:endParaRPr>
        </a:p>
      </xdr:txBody>
    </xdr:sp>
    <xdr:clientData/>
  </xdr:twoCellAnchor>
  <xdr:twoCellAnchor>
    <xdr:from>
      <xdr:col>5</xdr:col>
      <xdr:colOff>13607</xdr:colOff>
      <xdr:row>52</xdr:row>
      <xdr:rowOff>81643</xdr:rowOff>
    </xdr:from>
    <xdr:to>
      <xdr:col>5</xdr:col>
      <xdr:colOff>734786</xdr:colOff>
      <xdr:row>55</xdr:row>
      <xdr:rowOff>37737</xdr:rowOff>
    </xdr:to>
    <xdr:cxnSp macro="">
      <xdr:nvCxnSpPr>
        <xdr:cNvPr id="19" name="Straight Arrow Connector 5">
          <a:extLst>
            <a:ext uri="{FF2B5EF4-FFF2-40B4-BE49-F238E27FC236}">
              <a16:creationId xmlns:a16="http://schemas.microsoft.com/office/drawing/2014/main" id="{6A0297DD-67F9-4821-B8EB-78DF9A1917F7}"/>
            </a:ext>
          </a:extLst>
        </xdr:cNvPr>
        <xdr:cNvCxnSpPr>
          <a:stCxn id="18" idx="1"/>
        </xdr:cNvCxnSpPr>
      </xdr:nvCxnSpPr>
      <xdr:spPr>
        <a:xfrm flipH="1" flipV="1">
          <a:off x="6490607" y="10654393"/>
          <a:ext cx="721179" cy="48677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873125</xdr:colOff>
      <xdr:row>20</xdr:row>
      <xdr:rowOff>63500</xdr:rowOff>
    </xdr:from>
    <xdr:to>
      <xdr:col>13</xdr:col>
      <xdr:colOff>966010</xdr:colOff>
      <xdr:row>23</xdr:row>
      <xdr:rowOff>159658</xdr:rowOff>
    </xdr:to>
    <xdr:cxnSp macro="">
      <xdr:nvCxnSpPr>
        <xdr:cNvPr id="23" name="Straight Arrow Connector 5">
          <a:extLst>
            <a:ext uri="{FF2B5EF4-FFF2-40B4-BE49-F238E27FC236}">
              <a16:creationId xmlns:a16="http://schemas.microsoft.com/office/drawing/2014/main" id="{262AE946-4FBE-4644-88F5-52C4D718914C}"/>
            </a:ext>
          </a:extLst>
        </xdr:cNvPr>
        <xdr:cNvCxnSpPr>
          <a:stCxn id="21" idx="0"/>
        </xdr:cNvCxnSpPr>
      </xdr:nvCxnSpPr>
      <xdr:spPr>
        <a:xfrm flipH="1" flipV="1">
          <a:off x="16414750" y="5048250"/>
          <a:ext cx="92885" cy="6200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7</xdr:row>
      <xdr:rowOff>82550</xdr:rowOff>
    </xdr:from>
    <xdr:to>
      <xdr:col>13</xdr:col>
      <xdr:colOff>222250</xdr:colOff>
      <xdr:row>18</xdr:row>
      <xdr:rowOff>142875</xdr:rowOff>
    </xdr:to>
    <xdr:cxnSp macro="">
      <xdr:nvCxnSpPr>
        <xdr:cNvPr id="11" name="Straight Arrow Connector 2">
          <a:extLst>
            <a:ext uri="{FF2B5EF4-FFF2-40B4-BE49-F238E27FC236}">
              <a16:creationId xmlns:a16="http://schemas.microsoft.com/office/drawing/2014/main" id="{6BCC4943-7843-4EF8-B23D-EA24371DBE4E}"/>
            </a:ext>
          </a:extLst>
        </xdr:cNvPr>
        <xdr:cNvCxnSpPr/>
      </xdr:nvCxnSpPr>
      <xdr:spPr>
        <a:xfrm>
          <a:off x="15062200" y="2797175"/>
          <a:ext cx="701675" cy="19812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15875</xdr:colOff>
      <xdr:row>19</xdr:row>
      <xdr:rowOff>91330</xdr:rowOff>
    </xdr:from>
    <xdr:to>
      <xdr:col>13</xdr:col>
      <xdr:colOff>0</xdr:colOff>
      <xdr:row>19</xdr:row>
      <xdr:rowOff>91330</xdr:rowOff>
    </xdr:to>
    <xdr:cxnSp macro="">
      <xdr:nvCxnSpPr>
        <xdr:cNvPr id="18" name="Straight Arrow Connector 3">
          <a:extLst>
            <a:ext uri="{FF2B5EF4-FFF2-40B4-BE49-F238E27FC236}">
              <a16:creationId xmlns:a16="http://schemas.microsoft.com/office/drawing/2014/main" id="{04EF7F0A-2E45-4250-93D9-27016C0E14B4}"/>
            </a:ext>
          </a:extLst>
        </xdr:cNvPr>
        <xdr:cNvCxnSpPr/>
      </xdr:nvCxnSpPr>
      <xdr:spPr>
        <a:xfrm flipV="1">
          <a:off x="14081499" y="5219142"/>
          <a:ext cx="495113"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611870</xdr:colOff>
      <xdr:row>5</xdr:row>
      <xdr:rowOff>21502</xdr:rowOff>
    </xdr:from>
    <xdr:to>
      <xdr:col>13</xdr:col>
      <xdr:colOff>1060858</xdr:colOff>
      <xdr:row>7</xdr:row>
      <xdr:rowOff>39914</xdr:rowOff>
    </xdr:to>
    <xdr:cxnSp macro="">
      <xdr:nvCxnSpPr>
        <xdr:cNvPr id="7" name="Straight Arrow Connector 20">
          <a:extLst>
            <a:ext uri="{FF2B5EF4-FFF2-40B4-BE49-F238E27FC236}">
              <a16:creationId xmlns:a16="http://schemas.microsoft.com/office/drawing/2014/main" id="{002246C4-4590-460D-A956-E5FBA81D9E8D}"/>
            </a:ext>
          </a:extLst>
        </xdr:cNvPr>
        <xdr:cNvCxnSpPr>
          <a:cxnSpLocks/>
          <a:stCxn id="22" idx="0"/>
        </xdr:cNvCxnSpPr>
      </xdr:nvCxnSpPr>
      <xdr:spPr>
        <a:xfrm flipH="1" flipV="1">
          <a:off x="13680170" y="2269402"/>
          <a:ext cx="1944413" cy="3898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7</xdr:row>
      <xdr:rowOff>76200</xdr:rowOff>
    </xdr:from>
    <xdr:to>
      <xdr:col>11</xdr:col>
      <xdr:colOff>25400</xdr:colOff>
      <xdr:row>7</xdr:row>
      <xdr:rowOff>76200</xdr:rowOff>
    </xdr:to>
    <xdr:cxnSp macro="">
      <xdr:nvCxnSpPr>
        <xdr:cNvPr id="3" name="Straight Arrow Connector 5">
          <a:extLst>
            <a:ext uri="{FF2B5EF4-FFF2-40B4-BE49-F238E27FC236}">
              <a16:creationId xmlns:a16="http://schemas.microsoft.com/office/drawing/2014/main" id="{9B61F73F-DFFD-4A85-B253-47612EA376A2}"/>
            </a:ext>
          </a:extLst>
        </xdr:cNvPr>
        <xdr:cNvCxnSpPr/>
      </xdr:nvCxnSpPr>
      <xdr:spPr>
        <a:xfrm flipV="1">
          <a:off x="12167347" y="2684929"/>
          <a:ext cx="937559"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1059999</xdr:colOff>
      <xdr:row>25</xdr:row>
      <xdr:rowOff>0</xdr:rowOff>
    </xdr:from>
    <xdr:to>
      <xdr:col>16</xdr:col>
      <xdr:colOff>269875</xdr:colOff>
      <xdr:row>25</xdr:row>
      <xdr:rowOff>151947</xdr:rowOff>
    </xdr:to>
    <xdr:cxnSp macro="">
      <xdr:nvCxnSpPr>
        <xdr:cNvPr id="9" name="Straight Arrow Connector 5">
          <a:extLst>
            <a:ext uri="{FF2B5EF4-FFF2-40B4-BE49-F238E27FC236}">
              <a16:creationId xmlns:a16="http://schemas.microsoft.com/office/drawing/2014/main" id="{4B890FA1-E413-40AB-BB72-25AE7DB2EDB0}"/>
            </a:ext>
          </a:extLst>
        </xdr:cNvPr>
        <xdr:cNvCxnSpPr/>
      </xdr:nvCxnSpPr>
      <xdr:spPr>
        <a:xfrm flipH="1">
          <a:off x="19141624" y="6048375"/>
          <a:ext cx="670376" cy="15194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51262</xdr:colOff>
      <xdr:row>24</xdr:row>
      <xdr:rowOff>164303</xdr:rowOff>
    </xdr:from>
    <xdr:to>
      <xdr:col>18</xdr:col>
      <xdr:colOff>714375</xdr:colOff>
      <xdr:row>25</xdr:row>
      <xdr:rowOff>111125</xdr:rowOff>
    </xdr:to>
    <xdr:cxnSp macro="">
      <xdr:nvCxnSpPr>
        <xdr:cNvPr id="8" name="Straight Arrow Connector 5">
          <a:extLst>
            <a:ext uri="{FF2B5EF4-FFF2-40B4-BE49-F238E27FC236}">
              <a16:creationId xmlns:a16="http://schemas.microsoft.com/office/drawing/2014/main" id="{E2768E8D-92A1-489E-B03F-DDF44AE3DFAA}"/>
            </a:ext>
          </a:extLst>
        </xdr:cNvPr>
        <xdr:cNvCxnSpPr>
          <a:cxnSpLocks/>
          <a:stCxn id="6" idx="2"/>
        </xdr:cNvCxnSpPr>
      </xdr:nvCxnSpPr>
      <xdr:spPr>
        <a:xfrm>
          <a:off x="21053887" y="6038053"/>
          <a:ext cx="1790238" cy="1214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302532</xdr:colOff>
      <xdr:row>23</xdr:row>
      <xdr:rowOff>162833</xdr:rowOff>
    </xdr:from>
    <xdr:to>
      <xdr:col>14</xdr:col>
      <xdr:colOff>819863</xdr:colOff>
      <xdr:row>27</xdr:row>
      <xdr:rowOff>101257</xdr:rowOff>
    </xdr:to>
    <xdr:sp macro="" textlink="">
      <xdr:nvSpPr>
        <xdr:cNvPr id="21" name="TextBox 9">
          <a:extLst>
            <a:ext uri="{FF2B5EF4-FFF2-40B4-BE49-F238E27FC236}">
              <a16:creationId xmlns:a16="http://schemas.microsoft.com/office/drawing/2014/main" id="{6794D6D7-E599-4322-96D8-4C8FC0593828}"/>
            </a:ext>
          </a:extLst>
        </xdr:cNvPr>
        <xdr:cNvSpPr txBox="1"/>
      </xdr:nvSpPr>
      <xdr:spPr>
        <a:xfrm>
          <a:off x="15336157" y="5671458"/>
          <a:ext cx="2342956" cy="6369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491670</xdr:colOff>
      <xdr:row>17</xdr:row>
      <xdr:rowOff>127909</xdr:rowOff>
    </xdr:from>
    <xdr:to>
      <xdr:col>18</xdr:col>
      <xdr:colOff>393699</xdr:colOff>
      <xdr:row>20</xdr:row>
      <xdr:rowOff>93890</xdr:rowOff>
    </xdr:to>
    <xdr:sp macro="" textlink="">
      <xdr:nvSpPr>
        <xdr:cNvPr id="16" name="TextBox 10">
          <a:extLst>
            <a:ext uri="{FF2B5EF4-FFF2-40B4-BE49-F238E27FC236}">
              <a16:creationId xmlns:a16="http://schemas.microsoft.com/office/drawing/2014/main" id="{1B149603-54A5-4414-A8A4-62E8E92A1BCE}"/>
            </a:ext>
          </a:extLst>
        </xdr:cNvPr>
        <xdr:cNvSpPr txBox="1"/>
      </xdr:nvSpPr>
      <xdr:spPr>
        <a:xfrm>
          <a:off x="18573295" y="4588784"/>
          <a:ext cx="395015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12</xdr:col>
      <xdr:colOff>445316</xdr:colOff>
      <xdr:row>7</xdr:row>
      <xdr:rowOff>39914</xdr:rowOff>
    </xdr:from>
    <xdr:to>
      <xdr:col>14</xdr:col>
      <xdr:colOff>895350</xdr:colOff>
      <xdr:row>10</xdr:row>
      <xdr:rowOff>142875</xdr:rowOff>
    </xdr:to>
    <xdr:sp macro="" textlink="">
      <xdr:nvSpPr>
        <xdr:cNvPr id="22" name="TextBox 13">
          <a:extLst>
            <a:ext uri="{FF2B5EF4-FFF2-40B4-BE49-F238E27FC236}">
              <a16:creationId xmlns:a16="http://schemas.microsoft.com/office/drawing/2014/main" id="{0B4A485A-5783-4F95-B7FD-58CB5E76905A}"/>
            </a:ext>
          </a:extLst>
        </xdr:cNvPr>
        <xdr:cNvSpPr txBox="1"/>
      </xdr:nvSpPr>
      <xdr:spPr>
        <a:xfrm>
          <a:off x="14494691" y="2659289"/>
          <a:ext cx="2259784" cy="6458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15875</xdr:colOff>
      <xdr:row>19</xdr:row>
      <xdr:rowOff>22000</xdr:rowOff>
    </xdr:from>
    <xdr:to>
      <xdr:col>15</xdr:col>
      <xdr:colOff>488495</xdr:colOff>
      <xdr:row>19</xdr:row>
      <xdr:rowOff>161925</xdr:rowOff>
    </xdr:to>
    <xdr:cxnSp macro="">
      <xdr:nvCxnSpPr>
        <xdr:cNvPr id="29" name="Straight Arrow Connector 5">
          <a:extLst>
            <a:ext uri="{FF2B5EF4-FFF2-40B4-BE49-F238E27FC236}">
              <a16:creationId xmlns:a16="http://schemas.microsoft.com/office/drawing/2014/main" id="{75348B27-A43A-4F33-9DB6-95130906423A}"/>
            </a:ext>
          </a:extLst>
        </xdr:cNvPr>
        <xdr:cNvCxnSpPr>
          <a:stCxn id="16" idx="1"/>
        </xdr:cNvCxnSpPr>
      </xdr:nvCxnSpPr>
      <xdr:spPr>
        <a:xfrm flipH="1">
          <a:off x="18097500" y="4832125"/>
          <a:ext cx="472620" cy="139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908050</xdr:colOff>
      <xdr:row>21</xdr:row>
      <xdr:rowOff>50800</xdr:rowOff>
    </xdr:from>
    <xdr:to>
      <xdr:col>18</xdr:col>
      <xdr:colOff>991524</xdr:colOff>
      <xdr:row>24</xdr:row>
      <xdr:rowOff>161128</xdr:rowOff>
    </xdr:to>
    <xdr:sp macro="" textlink="">
      <xdr:nvSpPr>
        <xdr:cNvPr id="6" name="TextBox 27">
          <a:extLst>
            <a:ext uri="{FF2B5EF4-FFF2-40B4-BE49-F238E27FC236}">
              <a16:creationId xmlns:a16="http://schemas.microsoft.com/office/drawing/2014/main" id="{03D482D5-CDF9-4A7B-91FE-5513C5894F5A}"/>
            </a:ext>
          </a:extLst>
        </xdr:cNvPr>
        <xdr:cNvSpPr txBox="1"/>
      </xdr:nvSpPr>
      <xdr:spPr>
        <a:xfrm>
          <a:off x="18989675" y="5400675"/>
          <a:ext cx="4131599"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101D1978-E245-4DE0-A95A-A19F91C59534}"/>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721178</xdr:colOff>
      <xdr:row>9</xdr:row>
      <xdr:rowOff>54428</xdr:rowOff>
    </xdr:from>
    <xdr:to>
      <xdr:col>13</xdr:col>
      <xdr:colOff>846495</xdr:colOff>
      <xdr:row>13</xdr:row>
      <xdr:rowOff>149679</xdr:rowOff>
    </xdr:to>
    <xdr:cxnSp macro="">
      <xdr:nvCxnSpPr>
        <xdr:cNvPr id="21" name="Straight Arrow Connector 5">
          <a:extLst>
            <a:ext uri="{FF2B5EF4-FFF2-40B4-BE49-F238E27FC236}">
              <a16:creationId xmlns:a16="http://schemas.microsoft.com/office/drawing/2014/main" id="{0272DC1B-6A46-4F82-8CEA-9D65C3A4D301}"/>
            </a:ext>
          </a:extLst>
        </xdr:cNvPr>
        <xdr:cNvCxnSpPr>
          <a:stCxn id="20" idx="0"/>
        </xdr:cNvCxnSpPr>
      </xdr:nvCxnSpPr>
      <xdr:spPr>
        <a:xfrm flipH="1" flipV="1">
          <a:off x="15757071" y="2966357"/>
          <a:ext cx="125317" cy="8028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12674</xdr:colOff>
      <xdr:row>7</xdr:row>
      <xdr:rowOff>95251</xdr:rowOff>
    </xdr:from>
    <xdr:to>
      <xdr:col>13</xdr:col>
      <xdr:colOff>5686</xdr:colOff>
      <xdr:row>8</xdr:row>
      <xdr:rowOff>0</xdr:rowOff>
    </xdr:to>
    <xdr:cxnSp macro="">
      <xdr:nvCxnSpPr>
        <xdr:cNvPr id="12" name="Straight Arrow Connector 2">
          <a:extLst>
            <a:ext uri="{FF2B5EF4-FFF2-40B4-BE49-F238E27FC236}">
              <a16:creationId xmlns:a16="http://schemas.microsoft.com/office/drawing/2014/main" id="{1ED01ED4-CEE6-474B-804E-DB81D66C390E}"/>
            </a:ext>
          </a:extLst>
        </xdr:cNvPr>
        <xdr:cNvCxnSpPr/>
      </xdr:nvCxnSpPr>
      <xdr:spPr>
        <a:xfrm>
          <a:off x="14078298" y="2703980"/>
          <a:ext cx="504000" cy="8404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2029</xdr:colOff>
      <xdr:row>8</xdr:row>
      <xdr:rowOff>92318</xdr:rowOff>
    </xdr:from>
    <xdr:to>
      <xdr:col>12</xdr:col>
      <xdr:colOff>506029</xdr:colOff>
      <xdr:row>8</xdr:row>
      <xdr:rowOff>92318</xdr:rowOff>
    </xdr:to>
    <xdr:cxnSp macro="">
      <xdr:nvCxnSpPr>
        <xdr:cNvPr id="5" name="Straight Arrow Connector 3">
          <a:extLst>
            <a:ext uri="{FF2B5EF4-FFF2-40B4-BE49-F238E27FC236}">
              <a16:creationId xmlns:a16="http://schemas.microsoft.com/office/drawing/2014/main" id="{2532EA52-5871-48A5-AFF4-2C015AF6C55D}"/>
            </a:ext>
          </a:extLst>
        </xdr:cNvPr>
        <xdr:cNvCxnSpPr/>
      </xdr:nvCxnSpPr>
      <xdr:spPr>
        <a:xfrm>
          <a:off x="14067653" y="2880342"/>
          <a:ext cx="5040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762000</xdr:colOff>
      <xdr:row>5</xdr:row>
      <xdr:rowOff>21499</xdr:rowOff>
    </xdr:from>
    <xdr:to>
      <xdr:col>13</xdr:col>
      <xdr:colOff>268968</xdr:colOff>
      <xdr:row>6</xdr:row>
      <xdr:rowOff>25310</xdr:rowOff>
    </xdr:to>
    <xdr:cxnSp macro="">
      <xdr:nvCxnSpPr>
        <xdr:cNvPr id="28" name="Straight Arrow Connector 20">
          <a:extLst>
            <a:ext uri="{FF2B5EF4-FFF2-40B4-BE49-F238E27FC236}">
              <a16:creationId xmlns:a16="http://schemas.microsoft.com/office/drawing/2014/main" id="{2AC5A87A-9A80-42E0-B745-D17430B8D481}"/>
            </a:ext>
          </a:extLst>
        </xdr:cNvPr>
        <xdr:cNvCxnSpPr>
          <a:cxnSpLocks/>
          <a:stCxn id="9" idx="1"/>
        </xdr:cNvCxnSpPr>
      </xdr:nvCxnSpPr>
      <xdr:spPr>
        <a:xfrm flipH="1" flipV="1">
          <a:off x="13852071" y="2266678"/>
          <a:ext cx="1003754" cy="19431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4508</xdr:colOff>
      <xdr:row>7</xdr:row>
      <xdr:rowOff>94887</xdr:rowOff>
    </xdr:from>
    <xdr:to>
      <xdr:col>11</xdr:col>
      <xdr:colOff>8862</xdr:colOff>
      <xdr:row>7</xdr:row>
      <xdr:rowOff>94887</xdr:rowOff>
    </xdr:to>
    <xdr:cxnSp macro="">
      <xdr:nvCxnSpPr>
        <xdr:cNvPr id="6" name="Straight Arrow Connector 5">
          <a:extLst>
            <a:ext uri="{FF2B5EF4-FFF2-40B4-BE49-F238E27FC236}">
              <a16:creationId xmlns:a16="http://schemas.microsoft.com/office/drawing/2014/main" id="{D05E1837-0593-4001-9E56-39E1AD6BDE54}"/>
            </a:ext>
          </a:extLst>
        </xdr:cNvPr>
        <xdr:cNvCxnSpPr/>
      </xdr:nvCxnSpPr>
      <xdr:spPr>
        <a:xfrm flipV="1">
          <a:off x="12133755" y="2703616"/>
          <a:ext cx="954613"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40821</xdr:colOff>
      <xdr:row>8</xdr:row>
      <xdr:rowOff>108857</xdr:rowOff>
    </xdr:from>
    <xdr:to>
      <xdr:col>15</xdr:col>
      <xdr:colOff>925285</xdr:colOff>
      <xdr:row>9</xdr:row>
      <xdr:rowOff>57433</xdr:rowOff>
    </xdr:to>
    <xdr:cxnSp macro="">
      <xdr:nvCxnSpPr>
        <xdr:cNvPr id="19" name="Straight Arrow Connector 5">
          <a:extLst>
            <a:ext uri="{FF2B5EF4-FFF2-40B4-BE49-F238E27FC236}">
              <a16:creationId xmlns:a16="http://schemas.microsoft.com/office/drawing/2014/main" id="{B57EAD90-30B3-47D1-9F7E-0778E62D10E7}"/>
            </a:ext>
          </a:extLst>
        </xdr:cNvPr>
        <xdr:cNvCxnSpPr>
          <a:stCxn id="18" idx="1"/>
        </xdr:cNvCxnSpPr>
      </xdr:nvCxnSpPr>
      <xdr:spPr>
        <a:xfrm flipH="1" flipV="1">
          <a:off x="17621250" y="2843893"/>
          <a:ext cx="884464" cy="12546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146504</xdr:colOff>
      <xdr:row>13</xdr:row>
      <xdr:rowOff>149679</xdr:rowOff>
    </xdr:from>
    <xdr:to>
      <xdr:col>14</xdr:col>
      <xdr:colOff>706017</xdr:colOff>
      <xdr:row>17</xdr:row>
      <xdr:rowOff>98082</xdr:rowOff>
    </xdr:to>
    <xdr:sp macro="" textlink="">
      <xdr:nvSpPr>
        <xdr:cNvPr id="20" name="TextBox 7">
          <a:extLst>
            <a:ext uri="{FF2B5EF4-FFF2-40B4-BE49-F238E27FC236}">
              <a16:creationId xmlns:a16="http://schemas.microsoft.com/office/drawing/2014/main" id="{6F46E245-BFD7-4FDF-B929-AD154E54C962}"/>
            </a:ext>
          </a:extLst>
        </xdr:cNvPr>
        <xdr:cNvSpPr txBox="1"/>
      </xdr:nvSpPr>
      <xdr:spPr>
        <a:xfrm>
          <a:off x="14706147" y="3769179"/>
          <a:ext cx="2355656" cy="6559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hydrogen output.</a:t>
          </a:r>
          <a:endParaRPr lang="en-GB" sz="1100"/>
        </a:p>
      </xdr:txBody>
    </xdr:sp>
    <xdr:clientData/>
  </xdr:twoCellAnchor>
  <xdr:twoCellAnchor>
    <xdr:from>
      <xdr:col>13</xdr:col>
      <xdr:colOff>268968</xdr:colOff>
      <xdr:row>5</xdr:row>
      <xdr:rowOff>91441</xdr:rowOff>
    </xdr:from>
    <xdr:to>
      <xdr:col>16</xdr:col>
      <xdr:colOff>1102179</xdr:colOff>
      <xdr:row>6</xdr:row>
      <xdr:rowOff>149679</xdr:rowOff>
    </xdr:to>
    <xdr:sp macro="" textlink="">
      <xdr:nvSpPr>
        <xdr:cNvPr id="9" name="TextBox 8">
          <a:extLst>
            <a:ext uri="{FF2B5EF4-FFF2-40B4-BE49-F238E27FC236}">
              <a16:creationId xmlns:a16="http://schemas.microsoft.com/office/drawing/2014/main" id="{D417B058-7EBD-4A38-A36D-985AC7A8E7C5}"/>
            </a:ext>
          </a:extLst>
        </xdr:cNvPr>
        <xdr:cNvSpPr txBox="1"/>
      </xdr:nvSpPr>
      <xdr:spPr>
        <a:xfrm>
          <a:off x="14855825" y="2336620"/>
          <a:ext cx="4752068" cy="24873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16</xdr:col>
      <xdr:colOff>1170214</xdr:colOff>
      <xdr:row>16</xdr:row>
      <xdr:rowOff>98082</xdr:rowOff>
    </xdr:from>
    <xdr:to>
      <xdr:col>16</xdr:col>
      <xdr:colOff>1368651</xdr:colOff>
      <xdr:row>19</xdr:row>
      <xdr:rowOff>95250</xdr:rowOff>
    </xdr:to>
    <xdr:cxnSp macro="">
      <xdr:nvCxnSpPr>
        <xdr:cNvPr id="13" name="Straight Arrow Connector 5">
          <a:extLst>
            <a:ext uri="{FF2B5EF4-FFF2-40B4-BE49-F238E27FC236}">
              <a16:creationId xmlns:a16="http://schemas.microsoft.com/office/drawing/2014/main" id="{513698B3-48EC-4FAA-BF1A-9683A22A2693}"/>
            </a:ext>
          </a:extLst>
        </xdr:cNvPr>
        <xdr:cNvCxnSpPr>
          <a:cxnSpLocks/>
        </xdr:cNvCxnSpPr>
      </xdr:nvCxnSpPr>
      <xdr:spPr>
        <a:xfrm flipH="1">
          <a:off x="20206607" y="4248261"/>
          <a:ext cx="198437" cy="35095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1074964</xdr:colOff>
      <xdr:row>16</xdr:row>
      <xdr:rowOff>98082</xdr:rowOff>
    </xdr:from>
    <xdr:to>
      <xdr:col>16</xdr:col>
      <xdr:colOff>1368651</xdr:colOff>
      <xdr:row>19</xdr:row>
      <xdr:rowOff>122465</xdr:rowOff>
    </xdr:to>
    <xdr:cxnSp macro="">
      <xdr:nvCxnSpPr>
        <xdr:cNvPr id="11" name="Straight Arrow Connector 5">
          <a:extLst>
            <a:ext uri="{FF2B5EF4-FFF2-40B4-BE49-F238E27FC236}">
              <a16:creationId xmlns:a16="http://schemas.microsoft.com/office/drawing/2014/main" id="{FD4DE8D4-F5D9-4D23-9036-C1AB3E5F2766}"/>
            </a:ext>
          </a:extLst>
        </xdr:cNvPr>
        <xdr:cNvCxnSpPr>
          <a:cxnSpLocks/>
        </xdr:cNvCxnSpPr>
      </xdr:nvCxnSpPr>
      <xdr:spPr>
        <a:xfrm flipH="1">
          <a:off x="18655393" y="4248261"/>
          <a:ext cx="1749651" cy="37816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155584</xdr:colOff>
      <xdr:row>16</xdr:row>
      <xdr:rowOff>63973</xdr:rowOff>
    </xdr:from>
    <xdr:to>
      <xdr:col>18</xdr:col>
      <xdr:colOff>421821</xdr:colOff>
      <xdr:row>19</xdr:row>
      <xdr:rowOff>68036</xdr:rowOff>
    </xdr:to>
    <xdr:cxnSp macro="">
      <xdr:nvCxnSpPr>
        <xdr:cNvPr id="4" name="Straight Arrow Connector 5">
          <a:extLst>
            <a:ext uri="{FF2B5EF4-FFF2-40B4-BE49-F238E27FC236}">
              <a16:creationId xmlns:a16="http://schemas.microsoft.com/office/drawing/2014/main" id="{4B65EF19-AAB4-422C-A8CC-24586438C75D}"/>
            </a:ext>
          </a:extLst>
        </xdr:cNvPr>
        <xdr:cNvCxnSpPr>
          <a:cxnSpLocks/>
          <a:stCxn id="23" idx="2"/>
        </xdr:cNvCxnSpPr>
      </xdr:nvCxnSpPr>
      <xdr:spPr>
        <a:xfrm>
          <a:off x="20239727" y="4200544"/>
          <a:ext cx="1382023" cy="3578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922110</xdr:colOff>
      <xdr:row>7</xdr:row>
      <xdr:rowOff>84819</xdr:rowOff>
    </xdr:from>
    <xdr:to>
      <xdr:col>17</xdr:col>
      <xdr:colOff>619578</xdr:colOff>
      <xdr:row>11</xdr:row>
      <xdr:rowOff>30047</xdr:rowOff>
    </xdr:to>
    <xdr:sp macro="" textlink="">
      <xdr:nvSpPr>
        <xdr:cNvPr id="18" name="TextBox 13">
          <a:extLst>
            <a:ext uri="{FF2B5EF4-FFF2-40B4-BE49-F238E27FC236}">
              <a16:creationId xmlns:a16="http://schemas.microsoft.com/office/drawing/2014/main" id="{DF92A05F-E484-42DD-832C-A971146361CB}"/>
            </a:ext>
          </a:extLst>
        </xdr:cNvPr>
        <xdr:cNvSpPr txBox="1"/>
      </xdr:nvSpPr>
      <xdr:spPr>
        <a:xfrm>
          <a:off x="18502539" y="2642962"/>
          <a:ext cx="2609396" cy="6527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15</xdr:col>
      <xdr:colOff>979714</xdr:colOff>
      <xdr:row>12</xdr:row>
      <xdr:rowOff>136072</xdr:rowOff>
    </xdr:from>
    <xdr:to>
      <xdr:col>18</xdr:col>
      <xdr:colOff>1073167</xdr:colOff>
      <xdr:row>16</xdr:row>
      <xdr:rowOff>65878</xdr:rowOff>
    </xdr:to>
    <xdr:sp macro="" textlink="">
      <xdr:nvSpPr>
        <xdr:cNvPr id="23" name="TextBox 27">
          <a:extLst>
            <a:ext uri="{FF2B5EF4-FFF2-40B4-BE49-F238E27FC236}">
              <a16:creationId xmlns:a16="http://schemas.microsoft.com/office/drawing/2014/main" id="{F69F615A-A200-4B86-B0A5-04E9AFA5C931}"/>
            </a:ext>
          </a:extLst>
        </xdr:cNvPr>
        <xdr:cNvSpPr txBox="1"/>
      </xdr:nvSpPr>
      <xdr:spPr>
        <a:xfrm>
          <a:off x="18560143" y="3578679"/>
          <a:ext cx="413477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781050</xdr:colOff>
      <xdr:row>104</xdr:row>
      <xdr:rowOff>152400</xdr:rowOff>
    </xdr:from>
    <xdr:to>
      <xdr:col>7</xdr:col>
      <xdr:colOff>666750</xdr:colOff>
      <xdr:row>108</xdr:row>
      <xdr:rowOff>0</xdr:rowOff>
    </xdr:to>
    <xdr:sp macro="" textlink="">
      <xdr:nvSpPr>
        <xdr:cNvPr id="2" name="TextBox 7">
          <a:extLst>
            <a:ext uri="{FF2B5EF4-FFF2-40B4-BE49-F238E27FC236}">
              <a16:creationId xmlns:a16="http://schemas.microsoft.com/office/drawing/2014/main" id="{B5E9E311-6C0A-446A-87BD-86A1A33C9375}"/>
            </a:ext>
          </a:extLst>
        </xdr:cNvPr>
        <xdr:cNvSpPr txBox="1"/>
      </xdr:nvSpPr>
      <xdr:spPr>
        <a:xfrm>
          <a:off x="7134225" y="19240500"/>
          <a:ext cx="2981325" cy="4826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 rate is linked to the response given in the Initial questions worksheet.</a:t>
          </a:r>
          <a:endParaRPr lang="en-GB">
            <a:effectLst/>
          </a:endParaRPr>
        </a:p>
      </xdr:txBody>
    </xdr:sp>
    <xdr:clientData/>
  </xdr:twoCellAnchor>
  <xdr:twoCellAnchor>
    <xdr:from>
      <xdr:col>5</xdr:col>
      <xdr:colOff>59692</xdr:colOff>
      <xdr:row>104</xdr:row>
      <xdr:rowOff>97791</xdr:rowOff>
    </xdr:from>
    <xdr:to>
      <xdr:col>5</xdr:col>
      <xdr:colOff>777240</xdr:colOff>
      <xdr:row>107</xdr:row>
      <xdr:rowOff>35696</xdr:rowOff>
    </xdr:to>
    <xdr:cxnSp macro="">
      <xdr:nvCxnSpPr>
        <xdr:cNvPr id="17" name="Straight Arrow Connector 5">
          <a:extLst>
            <a:ext uri="{FF2B5EF4-FFF2-40B4-BE49-F238E27FC236}">
              <a16:creationId xmlns:a16="http://schemas.microsoft.com/office/drawing/2014/main" id="{C0FCC934-63CE-4898-93D3-7237F69E381E}"/>
            </a:ext>
          </a:extLst>
        </xdr:cNvPr>
        <xdr:cNvCxnSpPr>
          <a:stCxn id="2" idx="1"/>
        </xdr:cNvCxnSpPr>
      </xdr:nvCxnSpPr>
      <xdr:spPr>
        <a:xfrm flipH="1" flipV="1">
          <a:off x="6318978" y="18875648"/>
          <a:ext cx="717548" cy="29169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762000</xdr:colOff>
      <xdr:row>108</xdr:row>
      <xdr:rowOff>95250</xdr:rowOff>
    </xdr:from>
    <xdr:to>
      <xdr:col>7</xdr:col>
      <xdr:colOff>645795</xdr:colOff>
      <xdr:row>111</xdr:row>
      <xdr:rowOff>40639</xdr:rowOff>
    </xdr:to>
    <xdr:sp macro="" textlink="">
      <xdr:nvSpPr>
        <xdr:cNvPr id="22" name="TextBox 7">
          <a:extLst>
            <a:ext uri="{FF2B5EF4-FFF2-40B4-BE49-F238E27FC236}">
              <a16:creationId xmlns:a16="http://schemas.microsoft.com/office/drawing/2014/main" id="{001D4D7D-8491-415E-BB56-BF6732B2ABDE}"/>
            </a:ext>
          </a:extLst>
        </xdr:cNvPr>
        <xdr:cNvSpPr txBox="1"/>
      </xdr:nvSpPr>
      <xdr:spPr>
        <a:xfrm>
          <a:off x="6994071" y="19812000"/>
          <a:ext cx="2904581" cy="4760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Applicants must</a:t>
          </a:r>
          <a:r>
            <a:rPr lang="en-GB" sz="1100" baseline="0">
              <a:solidFill>
                <a:schemeClr val="dk1"/>
              </a:solidFill>
              <a:effectLst/>
              <a:latin typeface="+mn-lt"/>
              <a:ea typeface="+mn-ea"/>
              <a:cs typeface="+mn-cs"/>
            </a:rPr>
            <a:t> include the feedstock split of biogenic vs. fossil (LHV energy basis)</a:t>
          </a:r>
          <a:endParaRPr lang="en-GB">
            <a:effectLst/>
          </a:endParaRPr>
        </a:p>
      </xdr:txBody>
    </xdr:sp>
    <xdr:clientData/>
  </xdr:twoCellAnchor>
  <xdr:twoCellAnchor>
    <xdr:from>
      <xdr:col>5</xdr:col>
      <xdr:colOff>40821</xdr:colOff>
      <xdr:row>107</xdr:row>
      <xdr:rowOff>27214</xdr:rowOff>
    </xdr:from>
    <xdr:to>
      <xdr:col>5</xdr:col>
      <xdr:colOff>762000</xdr:colOff>
      <xdr:row>109</xdr:row>
      <xdr:rowOff>154486</xdr:rowOff>
    </xdr:to>
    <xdr:cxnSp macro="">
      <xdr:nvCxnSpPr>
        <xdr:cNvPr id="24" name="Straight Arrow Connector 5">
          <a:extLst>
            <a:ext uri="{FF2B5EF4-FFF2-40B4-BE49-F238E27FC236}">
              <a16:creationId xmlns:a16="http://schemas.microsoft.com/office/drawing/2014/main" id="{F46B7596-E803-4349-825D-C62940C06D8C}"/>
            </a:ext>
          </a:extLst>
        </xdr:cNvPr>
        <xdr:cNvCxnSpPr>
          <a:stCxn id="22" idx="1"/>
        </xdr:cNvCxnSpPr>
      </xdr:nvCxnSpPr>
      <xdr:spPr>
        <a:xfrm flipH="1" flipV="1">
          <a:off x="6517821" y="20873357"/>
          <a:ext cx="721179" cy="48105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25" name="TextBox 17">
          <a:extLst>
            <a:ext uri="{FF2B5EF4-FFF2-40B4-BE49-F238E27FC236}">
              <a16:creationId xmlns:a16="http://schemas.microsoft.com/office/drawing/2014/main" id="{D45954F8-06D4-4035-826F-D13DBD2557D3}"/>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21</xdr:col>
      <xdr:colOff>169636</xdr:colOff>
      <xdr:row>33</xdr:row>
      <xdr:rowOff>102507</xdr:rowOff>
    </xdr:from>
    <xdr:to>
      <xdr:col>31</xdr:col>
      <xdr:colOff>40822</xdr:colOff>
      <xdr:row>36</xdr:row>
      <xdr:rowOff>43996</xdr:rowOff>
    </xdr:to>
    <xdr:sp macro="" textlink="">
      <xdr:nvSpPr>
        <xdr:cNvPr id="2" name="Rectangle 1">
          <a:extLst>
            <a:ext uri="{FF2B5EF4-FFF2-40B4-BE49-F238E27FC236}">
              <a16:creationId xmlns:a16="http://schemas.microsoft.com/office/drawing/2014/main" id="{1FB8042C-F9B4-4295-A1F0-0B1F4679E6AA}"/>
            </a:ext>
          </a:extLst>
        </xdr:cNvPr>
        <xdr:cNvSpPr/>
      </xdr:nvSpPr>
      <xdr:spPr>
        <a:xfrm>
          <a:off x="23985946" y="7356747"/>
          <a:ext cx="4820376" cy="49012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If direct</a:t>
          </a:r>
          <a:r>
            <a:rPr lang="en-GB" sz="1100" baseline="0"/>
            <a:t> Land Use Change</a:t>
          </a:r>
          <a:r>
            <a:rPr lang="en-GB" sz="1100"/>
            <a:t> emissions are unknown, see the Guidance tab for instructions on how to access the RTFO Carbon Calculator to calculate these</a:t>
          </a:r>
        </a:p>
      </xdr:txBody>
    </xdr:sp>
    <xdr:clientData/>
  </xdr:twoCellAnchor>
  <xdr:twoCellAnchor>
    <xdr:from>
      <xdr:col>11</xdr:col>
      <xdr:colOff>690217</xdr:colOff>
      <xdr:row>5</xdr:row>
      <xdr:rowOff>41413</xdr:rowOff>
    </xdr:from>
    <xdr:to>
      <xdr:col>12</xdr:col>
      <xdr:colOff>494020</xdr:colOff>
      <xdr:row>7</xdr:row>
      <xdr:rowOff>174074</xdr:rowOff>
    </xdr:to>
    <xdr:cxnSp macro="">
      <xdr:nvCxnSpPr>
        <xdr:cNvPr id="54" name="Straight Arrow Connector 20">
          <a:extLst>
            <a:ext uri="{FF2B5EF4-FFF2-40B4-BE49-F238E27FC236}">
              <a16:creationId xmlns:a16="http://schemas.microsoft.com/office/drawing/2014/main" id="{A03DF38C-CC1C-4947-A334-2A76E875FEA9}"/>
            </a:ext>
          </a:extLst>
        </xdr:cNvPr>
        <xdr:cNvCxnSpPr>
          <a:cxnSpLocks/>
        </xdr:cNvCxnSpPr>
      </xdr:nvCxnSpPr>
      <xdr:spPr>
        <a:xfrm flipH="1" flipV="1">
          <a:off x="14605000" y="2388152"/>
          <a:ext cx="783911" cy="5053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5811</xdr:colOff>
      <xdr:row>7</xdr:row>
      <xdr:rowOff>87906</xdr:rowOff>
    </xdr:from>
    <xdr:to>
      <xdr:col>10</xdr:col>
      <xdr:colOff>936096</xdr:colOff>
      <xdr:row>7</xdr:row>
      <xdr:rowOff>87906</xdr:rowOff>
    </xdr:to>
    <xdr:cxnSp macro="">
      <xdr:nvCxnSpPr>
        <xdr:cNvPr id="5" name="Straight Arrow Connector 3">
          <a:extLst>
            <a:ext uri="{FF2B5EF4-FFF2-40B4-BE49-F238E27FC236}">
              <a16:creationId xmlns:a16="http://schemas.microsoft.com/office/drawing/2014/main" id="{1BC29A01-9CEE-41DC-B79D-DCF2E3F536F0}"/>
            </a:ext>
          </a:extLst>
        </xdr:cNvPr>
        <xdr:cNvCxnSpPr/>
      </xdr:nvCxnSpPr>
      <xdr:spPr>
        <a:xfrm>
          <a:off x="12416886" y="2707281"/>
          <a:ext cx="93028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969044</xdr:colOff>
      <xdr:row>19</xdr:row>
      <xdr:rowOff>108857</xdr:rowOff>
    </xdr:from>
    <xdr:to>
      <xdr:col>14</xdr:col>
      <xdr:colOff>122464</xdr:colOff>
      <xdr:row>23</xdr:row>
      <xdr:rowOff>130398</xdr:rowOff>
    </xdr:to>
    <xdr:cxnSp macro="">
      <xdr:nvCxnSpPr>
        <xdr:cNvPr id="50" name="Straight Arrow Connector 5">
          <a:extLst>
            <a:ext uri="{FF2B5EF4-FFF2-40B4-BE49-F238E27FC236}">
              <a16:creationId xmlns:a16="http://schemas.microsoft.com/office/drawing/2014/main" id="{3A996089-B46C-43BA-A6AE-B05807E61F21}"/>
            </a:ext>
          </a:extLst>
        </xdr:cNvPr>
        <xdr:cNvCxnSpPr>
          <a:stCxn id="49" idx="0"/>
        </xdr:cNvCxnSpPr>
      </xdr:nvCxnSpPr>
      <xdr:spPr>
        <a:xfrm flipV="1">
          <a:off x="16059365" y="4776107"/>
          <a:ext cx="446099" cy="72911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714868</xdr:colOff>
      <xdr:row>22</xdr:row>
      <xdr:rowOff>168963</xdr:rowOff>
    </xdr:from>
    <xdr:to>
      <xdr:col>16</xdr:col>
      <xdr:colOff>531586</xdr:colOff>
      <xdr:row>25</xdr:row>
      <xdr:rowOff>130885</xdr:rowOff>
    </xdr:to>
    <xdr:cxnSp macro="">
      <xdr:nvCxnSpPr>
        <xdr:cNvPr id="48" name="Straight Arrow Connector 5">
          <a:extLst>
            <a:ext uri="{FF2B5EF4-FFF2-40B4-BE49-F238E27FC236}">
              <a16:creationId xmlns:a16="http://schemas.microsoft.com/office/drawing/2014/main" id="{C0C39131-6EC9-4730-8EBA-41EB4670DE8F}"/>
            </a:ext>
          </a:extLst>
        </xdr:cNvPr>
        <xdr:cNvCxnSpPr/>
      </xdr:nvCxnSpPr>
      <xdr:spPr>
        <a:xfrm flipH="1">
          <a:off x="18660520" y="5400811"/>
          <a:ext cx="1279979" cy="50029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295669</xdr:colOff>
      <xdr:row>23</xdr:row>
      <xdr:rowOff>2379</xdr:rowOff>
    </xdr:from>
    <xdr:to>
      <xdr:col>18</xdr:col>
      <xdr:colOff>544858</xdr:colOff>
      <xdr:row>25</xdr:row>
      <xdr:rowOff>130884</xdr:rowOff>
    </xdr:to>
    <xdr:cxnSp macro="">
      <xdr:nvCxnSpPr>
        <xdr:cNvPr id="4" name="Straight Arrow Connector 5">
          <a:extLst>
            <a:ext uri="{FF2B5EF4-FFF2-40B4-BE49-F238E27FC236}">
              <a16:creationId xmlns:a16="http://schemas.microsoft.com/office/drawing/2014/main" id="{AC219C1D-B68B-44D5-8931-15A20B375FC1}"/>
            </a:ext>
          </a:extLst>
        </xdr:cNvPr>
        <xdr:cNvCxnSpPr>
          <a:stCxn id="3" idx="2"/>
        </xdr:cNvCxnSpPr>
      </xdr:nvCxnSpPr>
      <xdr:spPr>
        <a:xfrm>
          <a:off x="21167843" y="5413683"/>
          <a:ext cx="1381145" cy="4874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169577</xdr:colOff>
      <xdr:row>23</xdr:row>
      <xdr:rowOff>126588</xdr:rowOff>
    </xdr:from>
    <xdr:to>
      <xdr:col>14</xdr:col>
      <xdr:colOff>959974</xdr:colOff>
      <xdr:row>28</xdr:row>
      <xdr:rowOff>64736</xdr:rowOff>
    </xdr:to>
    <xdr:sp macro="" textlink="">
      <xdr:nvSpPr>
        <xdr:cNvPr id="49" name="TextBox 8">
          <a:extLst>
            <a:ext uri="{FF2B5EF4-FFF2-40B4-BE49-F238E27FC236}">
              <a16:creationId xmlns:a16="http://schemas.microsoft.com/office/drawing/2014/main" id="{CFD80363-8A23-4AA0-84A5-08D40CDD6C58}"/>
            </a:ext>
          </a:extLst>
        </xdr:cNvPr>
        <xdr:cNvSpPr txBox="1"/>
      </xdr:nvSpPr>
      <xdr:spPr>
        <a:xfrm>
          <a:off x="15064468" y="5537892"/>
          <a:ext cx="2612571" cy="6559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12</xdr:col>
      <xdr:colOff>486562</xdr:colOff>
      <xdr:row>6</xdr:row>
      <xdr:rowOff>58945</xdr:rowOff>
    </xdr:from>
    <xdr:to>
      <xdr:col>14</xdr:col>
      <xdr:colOff>859221</xdr:colOff>
      <xdr:row>10</xdr:row>
      <xdr:rowOff>21476</xdr:rowOff>
    </xdr:to>
    <xdr:sp macro="" textlink="">
      <xdr:nvSpPr>
        <xdr:cNvPr id="51" name="TextBox 10">
          <a:extLst>
            <a:ext uri="{FF2B5EF4-FFF2-40B4-BE49-F238E27FC236}">
              <a16:creationId xmlns:a16="http://schemas.microsoft.com/office/drawing/2014/main" id="{4FE798CC-E316-4B88-97C4-7BF1595236C3}"/>
            </a:ext>
          </a:extLst>
        </xdr:cNvPr>
        <xdr:cNvSpPr txBox="1"/>
      </xdr:nvSpPr>
      <xdr:spPr>
        <a:xfrm>
          <a:off x="15381453" y="2598945"/>
          <a:ext cx="2194833" cy="68035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1159566</xdr:colOff>
      <xdr:row>19</xdr:row>
      <xdr:rowOff>82827</xdr:rowOff>
    </xdr:from>
    <xdr:to>
      <xdr:col>18</xdr:col>
      <xdr:colOff>1229512</xdr:colOff>
      <xdr:row>22</xdr:row>
      <xdr:rowOff>178660</xdr:rowOff>
    </xdr:to>
    <xdr:sp macro="" textlink="">
      <xdr:nvSpPr>
        <xdr:cNvPr id="3" name="TextBox 27">
          <a:extLst>
            <a:ext uri="{FF2B5EF4-FFF2-40B4-BE49-F238E27FC236}">
              <a16:creationId xmlns:a16="http://schemas.microsoft.com/office/drawing/2014/main" id="{CA9C5F5E-4CFF-4900-BA8B-BE9F3B1E10FD}"/>
            </a:ext>
          </a:extLst>
        </xdr:cNvPr>
        <xdr:cNvSpPr txBox="1"/>
      </xdr:nvSpPr>
      <xdr:spPr>
        <a:xfrm>
          <a:off x="19105218" y="4776305"/>
          <a:ext cx="4128424"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3" name="TextBox 17">
          <a:extLst>
            <a:ext uri="{FF2B5EF4-FFF2-40B4-BE49-F238E27FC236}">
              <a16:creationId xmlns:a16="http://schemas.microsoft.com/office/drawing/2014/main" id="{2682611B-36DA-4B4E-B355-9D46DDB23055}"/>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13</xdr:col>
      <xdr:colOff>640773</xdr:colOff>
      <xdr:row>20</xdr:row>
      <xdr:rowOff>17318</xdr:rowOff>
    </xdr:from>
    <xdr:to>
      <xdr:col>13</xdr:col>
      <xdr:colOff>919827</xdr:colOff>
      <xdr:row>24</xdr:row>
      <xdr:rowOff>141185</xdr:rowOff>
    </xdr:to>
    <xdr:cxnSp macro="">
      <xdr:nvCxnSpPr>
        <xdr:cNvPr id="2" name="Straight Arrow Connector 5">
          <a:extLst>
            <a:ext uri="{FF2B5EF4-FFF2-40B4-BE49-F238E27FC236}">
              <a16:creationId xmlns:a16="http://schemas.microsoft.com/office/drawing/2014/main" id="{8562705D-6A26-4D12-B683-A4CA55443D59}"/>
            </a:ext>
          </a:extLst>
        </xdr:cNvPr>
        <xdr:cNvCxnSpPr>
          <a:stCxn id="20" idx="0"/>
        </xdr:cNvCxnSpPr>
      </xdr:nvCxnSpPr>
      <xdr:spPr>
        <a:xfrm flipH="1" flipV="1">
          <a:off x="16746682" y="4970318"/>
          <a:ext cx="279054" cy="81659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12206</xdr:colOff>
      <xdr:row>7</xdr:row>
      <xdr:rowOff>77396</xdr:rowOff>
    </xdr:from>
    <xdr:to>
      <xdr:col>12</xdr:col>
      <xdr:colOff>473941</xdr:colOff>
      <xdr:row>19</xdr:row>
      <xdr:rowOff>64324</xdr:rowOff>
    </xdr:to>
    <xdr:cxnSp macro="">
      <xdr:nvCxnSpPr>
        <xdr:cNvPr id="4" name="Straight Arrow Connector 2">
          <a:extLst>
            <a:ext uri="{FF2B5EF4-FFF2-40B4-BE49-F238E27FC236}">
              <a16:creationId xmlns:a16="http://schemas.microsoft.com/office/drawing/2014/main" id="{55D0E6F3-E431-48B1-BC99-71CD6AA876A6}"/>
            </a:ext>
          </a:extLst>
        </xdr:cNvPr>
        <xdr:cNvCxnSpPr/>
      </xdr:nvCxnSpPr>
      <xdr:spPr>
        <a:xfrm>
          <a:off x="15650524" y="2779032"/>
          <a:ext cx="461735" cy="206511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964872</xdr:colOff>
      <xdr:row>19</xdr:row>
      <xdr:rowOff>86591</xdr:rowOff>
    </xdr:from>
    <xdr:to>
      <xdr:col>13</xdr:col>
      <xdr:colOff>0</xdr:colOff>
      <xdr:row>19</xdr:row>
      <xdr:rowOff>86591</xdr:rowOff>
    </xdr:to>
    <xdr:cxnSp macro="">
      <xdr:nvCxnSpPr>
        <xdr:cNvPr id="37" name="Straight Arrow Connector 3">
          <a:extLst>
            <a:ext uri="{FF2B5EF4-FFF2-40B4-BE49-F238E27FC236}">
              <a16:creationId xmlns:a16="http://schemas.microsoft.com/office/drawing/2014/main" id="{402FC0C4-E815-4E5D-B1CD-866C1079BE9A}"/>
            </a:ext>
          </a:extLst>
        </xdr:cNvPr>
        <xdr:cNvCxnSpPr/>
      </xdr:nvCxnSpPr>
      <xdr:spPr>
        <a:xfrm flipV="1">
          <a:off x="14044378" y="5214403"/>
          <a:ext cx="532234"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762001</xdr:colOff>
      <xdr:row>5</xdr:row>
      <xdr:rowOff>65465</xdr:rowOff>
    </xdr:from>
    <xdr:to>
      <xdr:col>13</xdr:col>
      <xdr:colOff>1209993</xdr:colOff>
      <xdr:row>7</xdr:row>
      <xdr:rowOff>25310</xdr:rowOff>
    </xdr:to>
    <xdr:cxnSp macro="">
      <xdr:nvCxnSpPr>
        <xdr:cNvPr id="5" name="Straight Arrow Connector 20">
          <a:extLst>
            <a:ext uri="{FF2B5EF4-FFF2-40B4-BE49-F238E27FC236}">
              <a16:creationId xmlns:a16="http://schemas.microsoft.com/office/drawing/2014/main" id="{3037E52C-B014-4121-848F-323ADE27665F}"/>
            </a:ext>
          </a:extLst>
        </xdr:cNvPr>
        <xdr:cNvCxnSpPr>
          <a:cxnSpLocks/>
          <a:stCxn id="29" idx="0"/>
        </xdr:cNvCxnSpPr>
      </xdr:nvCxnSpPr>
      <xdr:spPr>
        <a:xfrm flipH="1" flipV="1">
          <a:off x="13830301" y="2313365"/>
          <a:ext cx="1943417" cy="33132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957349</xdr:colOff>
      <xdr:row>7</xdr:row>
      <xdr:rowOff>121228</xdr:rowOff>
    </xdr:from>
    <xdr:to>
      <xdr:col>11</xdr:col>
      <xdr:colOff>0</xdr:colOff>
      <xdr:row>7</xdr:row>
      <xdr:rowOff>121228</xdr:rowOff>
    </xdr:to>
    <xdr:cxnSp macro="">
      <xdr:nvCxnSpPr>
        <xdr:cNvPr id="14" name="Straight Arrow Connector 5">
          <a:extLst>
            <a:ext uri="{FF2B5EF4-FFF2-40B4-BE49-F238E27FC236}">
              <a16:creationId xmlns:a16="http://schemas.microsoft.com/office/drawing/2014/main" id="{60184BD9-BA59-4D82-B768-9FD6FCA25152}"/>
            </a:ext>
          </a:extLst>
        </xdr:cNvPr>
        <xdr:cNvCxnSpPr/>
      </xdr:nvCxnSpPr>
      <xdr:spPr>
        <a:xfrm>
          <a:off x="12127373" y="2729957"/>
          <a:ext cx="952133"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998809</xdr:colOff>
      <xdr:row>25</xdr:row>
      <xdr:rowOff>17318</xdr:rowOff>
    </xdr:from>
    <xdr:to>
      <xdr:col>16</xdr:col>
      <xdr:colOff>398319</xdr:colOff>
      <xdr:row>25</xdr:row>
      <xdr:rowOff>153390</xdr:rowOff>
    </xdr:to>
    <xdr:cxnSp macro="">
      <xdr:nvCxnSpPr>
        <xdr:cNvPr id="24" name="Straight Arrow Connector 5">
          <a:extLst>
            <a:ext uri="{FF2B5EF4-FFF2-40B4-BE49-F238E27FC236}">
              <a16:creationId xmlns:a16="http://schemas.microsoft.com/office/drawing/2014/main" id="{C85C3940-BD18-4144-918D-750CD04A6643}"/>
            </a:ext>
          </a:extLst>
        </xdr:cNvPr>
        <xdr:cNvCxnSpPr/>
      </xdr:nvCxnSpPr>
      <xdr:spPr>
        <a:xfrm flipH="1">
          <a:off x="19685127" y="6026727"/>
          <a:ext cx="854237" cy="1360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718156</xdr:colOff>
      <xdr:row>24</xdr:row>
      <xdr:rowOff>169788</xdr:rowOff>
    </xdr:from>
    <xdr:to>
      <xdr:col>18</xdr:col>
      <xdr:colOff>297584</xdr:colOff>
      <xdr:row>25</xdr:row>
      <xdr:rowOff>141721</xdr:rowOff>
    </xdr:to>
    <xdr:cxnSp macro="">
      <xdr:nvCxnSpPr>
        <xdr:cNvPr id="23" name="Straight Arrow Connector 5">
          <a:extLst>
            <a:ext uri="{FF2B5EF4-FFF2-40B4-BE49-F238E27FC236}">
              <a16:creationId xmlns:a16="http://schemas.microsoft.com/office/drawing/2014/main" id="{AC7CEE34-08D6-462E-935A-DDF3EA9969C1}"/>
            </a:ext>
          </a:extLst>
        </xdr:cNvPr>
        <xdr:cNvCxnSpPr>
          <a:cxnSpLocks/>
          <a:stCxn id="7" idx="2"/>
        </xdr:cNvCxnSpPr>
      </xdr:nvCxnSpPr>
      <xdr:spPr>
        <a:xfrm>
          <a:off x="22313929" y="6006015"/>
          <a:ext cx="705110" cy="1451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260101</xdr:colOff>
      <xdr:row>24</xdr:row>
      <xdr:rowOff>138010</xdr:rowOff>
    </xdr:from>
    <xdr:to>
      <xdr:col>14</xdr:col>
      <xdr:colOff>765598</xdr:colOff>
      <xdr:row>28</xdr:row>
      <xdr:rowOff>88557</xdr:rowOff>
    </xdr:to>
    <xdr:sp macro="" textlink="">
      <xdr:nvSpPr>
        <xdr:cNvPr id="20" name="TextBox 9">
          <a:extLst>
            <a:ext uri="{FF2B5EF4-FFF2-40B4-BE49-F238E27FC236}">
              <a16:creationId xmlns:a16="http://schemas.microsoft.com/office/drawing/2014/main" id="{9222DCBA-FEA1-479A-A5BB-06BD7D73BD36}"/>
            </a:ext>
          </a:extLst>
        </xdr:cNvPr>
        <xdr:cNvSpPr txBox="1"/>
      </xdr:nvSpPr>
      <xdr:spPr>
        <a:xfrm>
          <a:off x="15863783" y="5783737"/>
          <a:ext cx="2323906" cy="6432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16</xdr:col>
      <xdr:colOff>402193</xdr:colOff>
      <xdr:row>17</xdr:row>
      <xdr:rowOff>134836</xdr:rowOff>
    </xdr:from>
    <xdr:to>
      <xdr:col>19</xdr:col>
      <xdr:colOff>170872</xdr:colOff>
      <xdr:row>20</xdr:row>
      <xdr:rowOff>117847</xdr:rowOff>
    </xdr:to>
    <xdr:sp macro="" textlink="">
      <xdr:nvSpPr>
        <xdr:cNvPr id="19" name="TextBox 10">
          <a:extLst>
            <a:ext uri="{FF2B5EF4-FFF2-40B4-BE49-F238E27FC236}">
              <a16:creationId xmlns:a16="http://schemas.microsoft.com/office/drawing/2014/main" id="{85232AE6-D726-4C78-AC64-D481F056CD0A}"/>
            </a:ext>
          </a:extLst>
        </xdr:cNvPr>
        <xdr:cNvSpPr txBox="1"/>
      </xdr:nvSpPr>
      <xdr:spPr>
        <a:xfrm>
          <a:off x="20508602" y="4325836"/>
          <a:ext cx="3959679" cy="502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13</xdr:col>
      <xdr:colOff>122967</xdr:colOff>
      <xdr:row>7</xdr:row>
      <xdr:rowOff>25310</xdr:rowOff>
    </xdr:from>
    <xdr:to>
      <xdr:col>14</xdr:col>
      <xdr:colOff>1001618</xdr:colOff>
      <xdr:row>10</xdr:row>
      <xdr:rowOff>85725</xdr:rowOff>
    </xdr:to>
    <xdr:sp macro="" textlink="">
      <xdr:nvSpPr>
        <xdr:cNvPr id="29" name="TextBox 13">
          <a:extLst>
            <a:ext uri="{FF2B5EF4-FFF2-40B4-BE49-F238E27FC236}">
              <a16:creationId xmlns:a16="http://schemas.microsoft.com/office/drawing/2014/main" id="{1C5319C6-2C25-4CA9-B9E2-0BE4A4CCA545}"/>
            </a:ext>
          </a:extLst>
        </xdr:cNvPr>
        <xdr:cNvSpPr txBox="1"/>
      </xdr:nvSpPr>
      <xdr:spPr>
        <a:xfrm>
          <a:off x="14686692" y="2644685"/>
          <a:ext cx="2174051" cy="6033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51954</xdr:colOff>
      <xdr:row>19</xdr:row>
      <xdr:rowOff>41338</xdr:rowOff>
    </xdr:from>
    <xdr:to>
      <xdr:col>16</xdr:col>
      <xdr:colOff>402193</xdr:colOff>
      <xdr:row>19</xdr:row>
      <xdr:rowOff>69272</xdr:rowOff>
    </xdr:to>
    <xdr:cxnSp macro="">
      <xdr:nvCxnSpPr>
        <xdr:cNvPr id="15" name="Straight Arrow Connector 5">
          <a:extLst>
            <a:ext uri="{FF2B5EF4-FFF2-40B4-BE49-F238E27FC236}">
              <a16:creationId xmlns:a16="http://schemas.microsoft.com/office/drawing/2014/main" id="{43C82B8A-7967-4AD7-AAD7-00E2A3E6F5CB}"/>
            </a:ext>
          </a:extLst>
        </xdr:cNvPr>
        <xdr:cNvCxnSpPr>
          <a:stCxn id="19" idx="1"/>
        </xdr:cNvCxnSpPr>
      </xdr:nvCxnSpPr>
      <xdr:spPr>
        <a:xfrm flipH="1">
          <a:off x="18703636" y="4578702"/>
          <a:ext cx="1804966" cy="2793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103909</xdr:colOff>
      <xdr:row>21</xdr:row>
      <xdr:rowOff>51955</xdr:rowOff>
    </xdr:from>
    <xdr:to>
      <xdr:col>19</xdr:col>
      <xdr:colOff>44508</xdr:colOff>
      <xdr:row>24</xdr:row>
      <xdr:rowOff>169788</xdr:rowOff>
    </xdr:to>
    <xdr:sp macro="" textlink="">
      <xdr:nvSpPr>
        <xdr:cNvPr id="7" name="TextBox 27">
          <a:extLst>
            <a:ext uri="{FF2B5EF4-FFF2-40B4-BE49-F238E27FC236}">
              <a16:creationId xmlns:a16="http://schemas.microsoft.com/office/drawing/2014/main" id="{6379BAB0-222B-4A6B-B8E7-00E0F1E77A21}"/>
            </a:ext>
          </a:extLst>
        </xdr:cNvPr>
        <xdr:cNvSpPr txBox="1"/>
      </xdr:nvSpPr>
      <xdr:spPr>
        <a:xfrm>
          <a:off x="20244954" y="5368637"/>
          <a:ext cx="4131599"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87A5B8D5-4025-45AA-908D-4986A3258B4F}"/>
            </a:ext>
          </a:extLst>
        </xdr:cNvPr>
        <xdr:cNvSpPr txBox="1"/>
      </xdr:nvSpPr>
      <xdr:spPr>
        <a:xfrm>
          <a:off x="286871" y="1156447"/>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13</xdr:col>
      <xdr:colOff>708164</xdr:colOff>
      <xdr:row>20</xdr:row>
      <xdr:rowOff>15402</xdr:rowOff>
    </xdr:from>
    <xdr:to>
      <xdr:col>13</xdr:col>
      <xdr:colOff>974960</xdr:colOff>
      <xdr:row>24</xdr:row>
      <xdr:rowOff>96019</xdr:rowOff>
    </xdr:to>
    <xdr:cxnSp macro="">
      <xdr:nvCxnSpPr>
        <xdr:cNvPr id="2" name="Straight Arrow Connector 5">
          <a:extLst>
            <a:ext uri="{FF2B5EF4-FFF2-40B4-BE49-F238E27FC236}">
              <a16:creationId xmlns:a16="http://schemas.microsoft.com/office/drawing/2014/main" id="{8DF24BB0-7F3C-4C61-9FF4-3D961F7881AF}"/>
            </a:ext>
          </a:extLst>
        </xdr:cNvPr>
        <xdr:cNvCxnSpPr>
          <a:stCxn id="20" idx="0"/>
        </xdr:cNvCxnSpPr>
      </xdr:nvCxnSpPr>
      <xdr:spPr>
        <a:xfrm flipH="1" flipV="1">
          <a:off x="15354577" y="5026380"/>
          <a:ext cx="266796" cy="7984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952500</xdr:colOff>
      <xdr:row>7</xdr:row>
      <xdr:rowOff>133350</xdr:rowOff>
    </xdr:from>
    <xdr:to>
      <xdr:col>12</xdr:col>
      <xdr:colOff>492677</xdr:colOff>
      <xdr:row>19</xdr:row>
      <xdr:rowOff>73774</xdr:rowOff>
    </xdr:to>
    <xdr:cxnSp macro="">
      <xdr:nvCxnSpPr>
        <xdr:cNvPr id="17" name="Straight Arrow Connector 2">
          <a:extLst>
            <a:ext uri="{FF2B5EF4-FFF2-40B4-BE49-F238E27FC236}">
              <a16:creationId xmlns:a16="http://schemas.microsoft.com/office/drawing/2014/main" id="{AC0BA73A-366D-492E-AE48-04FBAE0F637A}"/>
            </a:ext>
          </a:extLst>
        </xdr:cNvPr>
        <xdr:cNvCxnSpPr/>
      </xdr:nvCxnSpPr>
      <xdr:spPr>
        <a:xfrm>
          <a:off x="14125575" y="2809875"/>
          <a:ext cx="521252" cy="230262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979755</xdr:colOff>
      <xdr:row>19</xdr:row>
      <xdr:rowOff>88210</xdr:rowOff>
    </xdr:from>
    <xdr:to>
      <xdr:col>12</xdr:col>
      <xdr:colOff>503307</xdr:colOff>
      <xdr:row>19</xdr:row>
      <xdr:rowOff>88210</xdr:rowOff>
    </xdr:to>
    <xdr:cxnSp macro="">
      <xdr:nvCxnSpPr>
        <xdr:cNvPr id="19" name="Straight Arrow Connector 3">
          <a:extLst>
            <a:ext uri="{FF2B5EF4-FFF2-40B4-BE49-F238E27FC236}">
              <a16:creationId xmlns:a16="http://schemas.microsoft.com/office/drawing/2014/main" id="{06DA3539-34DE-4532-BBD5-183890302429}"/>
            </a:ext>
          </a:extLst>
        </xdr:cNvPr>
        <xdr:cNvCxnSpPr/>
      </xdr:nvCxnSpPr>
      <xdr:spPr>
        <a:xfrm flipV="1">
          <a:off x="14059261" y="5216022"/>
          <a:ext cx="50967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822547</xdr:colOff>
      <xdr:row>5</xdr:row>
      <xdr:rowOff>1</xdr:rowOff>
    </xdr:from>
    <xdr:to>
      <xdr:col>13</xdr:col>
      <xdr:colOff>1252420</xdr:colOff>
      <xdr:row>7</xdr:row>
      <xdr:rowOff>86683</xdr:rowOff>
    </xdr:to>
    <xdr:cxnSp macro="">
      <xdr:nvCxnSpPr>
        <xdr:cNvPr id="5" name="Straight Arrow Connector 20">
          <a:extLst>
            <a:ext uri="{FF2B5EF4-FFF2-40B4-BE49-F238E27FC236}">
              <a16:creationId xmlns:a16="http://schemas.microsoft.com/office/drawing/2014/main" id="{01642788-F577-449F-9484-2D19AFD04C6D}"/>
            </a:ext>
          </a:extLst>
        </xdr:cNvPr>
        <xdr:cNvCxnSpPr>
          <a:cxnSpLocks/>
          <a:stCxn id="14" idx="0"/>
        </xdr:cNvCxnSpPr>
      </xdr:nvCxnSpPr>
      <xdr:spPr>
        <a:xfrm flipH="1" flipV="1">
          <a:off x="13890847" y="2247901"/>
          <a:ext cx="1925298" cy="45815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65709</xdr:colOff>
      <xdr:row>7</xdr:row>
      <xdr:rowOff>95528</xdr:rowOff>
    </xdr:from>
    <xdr:to>
      <xdr:col>11</xdr:col>
      <xdr:colOff>10630</xdr:colOff>
      <xdr:row>7</xdr:row>
      <xdr:rowOff>95528</xdr:rowOff>
    </xdr:to>
    <xdr:cxnSp macro="">
      <xdr:nvCxnSpPr>
        <xdr:cNvPr id="9" name="Straight Arrow Connector 5">
          <a:extLst>
            <a:ext uri="{FF2B5EF4-FFF2-40B4-BE49-F238E27FC236}">
              <a16:creationId xmlns:a16="http://schemas.microsoft.com/office/drawing/2014/main" id="{408D6F6C-570C-4CCD-87C2-5E97FB96DED3}"/>
            </a:ext>
          </a:extLst>
        </xdr:cNvPr>
        <xdr:cNvCxnSpPr/>
      </xdr:nvCxnSpPr>
      <xdr:spPr>
        <a:xfrm>
          <a:off x="12194956" y="2704257"/>
          <a:ext cx="89518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1038879</xdr:colOff>
      <xdr:row>25</xdr:row>
      <xdr:rowOff>27608</xdr:rowOff>
    </xdr:from>
    <xdr:to>
      <xdr:col>16</xdr:col>
      <xdr:colOff>427935</xdr:colOff>
      <xdr:row>25</xdr:row>
      <xdr:rowOff>163680</xdr:rowOff>
    </xdr:to>
    <xdr:cxnSp macro="">
      <xdr:nvCxnSpPr>
        <xdr:cNvPr id="7" name="Straight Arrow Connector 5">
          <a:extLst>
            <a:ext uri="{FF2B5EF4-FFF2-40B4-BE49-F238E27FC236}">
              <a16:creationId xmlns:a16="http://schemas.microsoft.com/office/drawing/2014/main" id="{B5CACE1D-623C-4EA0-ADFE-4D7D340B07A2}"/>
            </a:ext>
          </a:extLst>
        </xdr:cNvPr>
        <xdr:cNvCxnSpPr/>
      </xdr:nvCxnSpPr>
      <xdr:spPr>
        <a:xfrm flipH="1">
          <a:off x="18225292" y="6129130"/>
          <a:ext cx="852317" cy="1360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585559</xdr:colOff>
      <xdr:row>25</xdr:row>
      <xdr:rowOff>29986</xdr:rowOff>
    </xdr:from>
    <xdr:to>
      <xdr:col>18</xdr:col>
      <xdr:colOff>941871</xdr:colOff>
      <xdr:row>25</xdr:row>
      <xdr:rowOff>151848</xdr:rowOff>
    </xdr:to>
    <xdr:cxnSp macro="">
      <xdr:nvCxnSpPr>
        <xdr:cNvPr id="10" name="Straight Arrow Connector 5">
          <a:extLst>
            <a:ext uri="{FF2B5EF4-FFF2-40B4-BE49-F238E27FC236}">
              <a16:creationId xmlns:a16="http://schemas.microsoft.com/office/drawing/2014/main" id="{E6E4EA60-F6B5-46CC-91C8-E22083FC49D7}"/>
            </a:ext>
          </a:extLst>
        </xdr:cNvPr>
        <xdr:cNvCxnSpPr>
          <a:cxnSpLocks/>
          <a:stCxn id="6" idx="2"/>
        </xdr:cNvCxnSpPr>
      </xdr:nvCxnSpPr>
      <xdr:spPr>
        <a:xfrm>
          <a:off x="20698494" y="6131508"/>
          <a:ext cx="1488268" cy="1218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311229</xdr:colOff>
      <xdr:row>24</xdr:row>
      <xdr:rowOff>96019</xdr:rowOff>
    </xdr:from>
    <xdr:to>
      <xdr:col>14</xdr:col>
      <xdr:colOff>832011</xdr:colOff>
      <xdr:row>28</xdr:row>
      <xdr:rowOff>24642</xdr:rowOff>
    </xdr:to>
    <xdr:sp macro="" textlink="">
      <xdr:nvSpPr>
        <xdr:cNvPr id="20" name="TextBox 9">
          <a:extLst>
            <a:ext uri="{FF2B5EF4-FFF2-40B4-BE49-F238E27FC236}">
              <a16:creationId xmlns:a16="http://schemas.microsoft.com/office/drawing/2014/main" id="{7FE063C9-8D37-4046-9B16-128BC2DB4055}"/>
            </a:ext>
          </a:extLst>
        </xdr:cNvPr>
        <xdr:cNvSpPr txBox="1"/>
      </xdr:nvSpPr>
      <xdr:spPr>
        <a:xfrm>
          <a:off x="14446881" y="5824823"/>
          <a:ext cx="2342956" cy="6464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487529</xdr:colOff>
      <xdr:row>18</xdr:row>
      <xdr:rowOff>95608</xdr:rowOff>
    </xdr:from>
    <xdr:to>
      <xdr:col>18</xdr:col>
      <xdr:colOff>379205</xdr:colOff>
      <xdr:row>21</xdr:row>
      <xdr:rowOff>59794</xdr:rowOff>
    </xdr:to>
    <xdr:sp macro="" textlink="">
      <xdr:nvSpPr>
        <xdr:cNvPr id="16" name="TextBox 10">
          <a:extLst>
            <a:ext uri="{FF2B5EF4-FFF2-40B4-BE49-F238E27FC236}">
              <a16:creationId xmlns:a16="http://schemas.microsoft.com/office/drawing/2014/main" id="{2DCC65AB-CBF3-48C0-9CAF-2F4734E8832F}"/>
            </a:ext>
          </a:extLst>
        </xdr:cNvPr>
        <xdr:cNvSpPr txBox="1"/>
      </xdr:nvSpPr>
      <xdr:spPr>
        <a:xfrm>
          <a:off x="17673942" y="4747673"/>
          <a:ext cx="3950154" cy="502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13</xdr:col>
      <xdr:colOff>142875</xdr:colOff>
      <xdr:row>7</xdr:row>
      <xdr:rowOff>86683</xdr:rowOff>
    </xdr:from>
    <xdr:to>
      <xdr:col>14</xdr:col>
      <xdr:colOff>1066564</xdr:colOff>
      <xdr:row>10</xdr:row>
      <xdr:rowOff>152399</xdr:rowOff>
    </xdr:to>
    <xdr:sp macro="" textlink="">
      <xdr:nvSpPr>
        <xdr:cNvPr id="14" name="TextBox 13">
          <a:extLst>
            <a:ext uri="{FF2B5EF4-FFF2-40B4-BE49-F238E27FC236}">
              <a16:creationId xmlns:a16="http://schemas.microsoft.com/office/drawing/2014/main" id="{F8C2F6B4-6235-4E00-BD0B-161F1DF8E0FC}"/>
            </a:ext>
          </a:extLst>
        </xdr:cNvPr>
        <xdr:cNvSpPr txBox="1"/>
      </xdr:nvSpPr>
      <xdr:spPr>
        <a:xfrm>
          <a:off x="14706600" y="2706058"/>
          <a:ext cx="2219089" cy="6086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6803</xdr:colOff>
      <xdr:row>19</xdr:row>
      <xdr:rowOff>80242</xdr:rowOff>
    </xdr:from>
    <xdr:to>
      <xdr:col>15</xdr:col>
      <xdr:colOff>487529</xdr:colOff>
      <xdr:row>19</xdr:row>
      <xdr:rowOff>168304</xdr:rowOff>
    </xdr:to>
    <xdr:cxnSp macro="">
      <xdr:nvCxnSpPr>
        <xdr:cNvPr id="15" name="Straight Arrow Connector 5">
          <a:extLst>
            <a:ext uri="{FF2B5EF4-FFF2-40B4-BE49-F238E27FC236}">
              <a16:creationId xmlns:a16="http://schemas.microsoft.com/office/drawing/2014/main" id="{75727ED4-5818-42E0-BF9A-2574C9D94D7D}"/>
            </a:ext>
          </a:extLst>
        </xdr:cNvPr>
        <xdr:cNvCxnSpPr>
          <a:stCxn id="16" idx="1"/>
        </xdr:cNvCxnSpPr>
      </xdr:nvCxnSpPr>
      <xdr:spPr>
        <a:xfrm flipH="1" flipV="1">
          <a:off x="17193216" y="4911764"/>
          <a:ext cx="480726" cy="880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1449456</xdr:colOff>
      <xdr:row>21</xdr:row>
      <xdr:rowOff>110434</xdr:rowOff>
    </xdr:from>
    <xdr:to>
      <xdr:col>18</xdr:col>
      <xdr:colOff>1519402</xdr:colOff>
      <xdr:row>25</xdr:row>
      <xdr:rowOff>26811</xdr:rowOff>
    </xdr:to>
    <xdr:sp macro="" textlink="">
      <xdr:nvSpPr>
        <xdr:cNvPr id="6" name="TextBox 27">
          <a:extLst>
            <a:ext uri="{FF2B5EF4-FFF2-40B4-BE49-F238E27FC236}">
              <a16:creationId xmlns:a16="http://schemas.microsoft.com/office/drawing/2014/main" id="{DBCD5E72-9711-469A-9DFF-F55A019F91F8}"/>
            </a:ext>
          </a:extLst>
        </xdr:cNvPr>
        <xdr:cNvSpPr txBox="1"/>
      </xdr:nvSpPr>
      <xdr:spPr>
        <a:xfrm>
          <a:off x="18635869" y="5494130"/>
          <a:ext cx="4128424"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1370D222-AFDF-43B3-83BD-7D6929B36F00}"/>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13</xdr:col>
      <xdr:colOff>620280</xdr:colOff>
      <xdr:row>20</xdr:row>
      <xdr:rowOff>27173</xdr:rowOff>
    </xdr:from>
    <xdr:to>
      <xdr:col>13</xdr:col>
      <xdr:colOff>1058601</xdr:colOff>
      <xdr:row>23</xdr:row>
      <xdr:rowOff>143783</xdr:rowOff>
    </xdr:to>
    <xdr:cxnSp macro="">
      <xdr:nvCxnSpPr>
        <xdr:cNvPr id="2" name="Straight Arrow Connector 5">
          <a:extLst>
            <a:ext uri="{FF2B5EF4-FFF2-40B4-BE49-F238E27FC236}">
              <a16:creationId xmlns:a16="http://schemas.microsoft.com/office/drawing/2014/main" id="{073BFA7F-5D36-4CB6-9112-638979007736}"/>
            </a:ext>
          </a:extLst>
        </xdr:cNvPr>
        <xdr:cNvCxnSpPr>
          <a:stCxn id="10" idx="0"/>
        </xdr:cNvCxnSpPr>
      </xdr:nvCxnSpPr>
      <xdr:spPr>
        <a:xfrm flipH="1" flipV="1">
          <a:off x="16363744" y="5265923"/>
          <a:ext cx="438321" cy="64728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xdr:row>
      <xdr:rowOff>85725</xdr:rowOff>
    </xdr:from>
    <xdr:to>
      <xdr:col>13</xdr:col>
      <xdr:colOff>63501</xdr:colOff>
      <xdr:row>19</xdr:row>
      <xdr:rowOff>11794</xdr:rowOff>
    </xdr:to>
    <xdr:cxnSp macro="">
      <xdr:nvCxnSpPr>
        <xdr:cNvPr id="16" name="Straight Arrow Connector 2">
          <a:extLst>
            <a:ext uri="{FF2B5EF4-FFF2-40B4-BE49-F238E27FC236}">
              <a16:creationId xmlns:a16="http://schemas.microsoft.com/office/drawing/2014/main" id="{E0427193-5503-4EAD-9656-84C3EF263B42}"/>
            </a:ext>
          </a:extLst>
        </xdr:cNvPr>
        <xdr:cNvCxnSpPr/>
      </xdr:nvCxnSpPr>
      <xdr:spPr>
        <a:xfrm>
          <a:off x="15211425" y="2638425"/>
          <a:ext cx="568326" cy="228826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961407</xdr:colOff>
      <xdr:row>19</xdr:row>
      <xdr:rowOff>86591</xdr:rowOff>
    </xdr:from>
    <xdr:to>
      <xdr:col>13</xdr:col>
      <xdr:colOff>14432</xdr:colOff>
      <xdr:row>19</xdr:row>
      <xdr:rowOff>86591</xdr:rowOff>
    </xdr:to>
    <xdr:cxnSp macro="">
      <xdr:nvCxnSpPr>
        <xdr:cNvPr id="20" name="Straight Arrow Connector 3">
          <a:extLst>
            <a:ext uri="{FF2B5EF4-FFF2-40B4-BE49-F238E27FC236}">
              <a16:creationId xmlns:a16="http://schemas.microsoft.com/office/drawing/2014/main" id="{A0B7828A-D46A-431A-A8CD-527A83212967}"/>
            </a:ext>
          </a:extLst>
        </xdr:cNvPr>
        <xdr:cNvCxnSpPr/>
      </xdr:nvCxnSpPr>
      <xdr:spPr>
        <a:xfrm flipV="1">
          <a:off x="14040913" y="5214403"/>
          <a:ext cx="550131"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743488</xdr:colOff>
      <xdr:row>5</xdr:row>
      <xdr:rowOff>64681</xdr:rowOff>
    </xdr:from>
    <xdr:to>
      <xdr:col>13</xdr:col>
      <xdr:colOff>1093821</xdr:colOff>
      <xdr:row>7</xdr:row>
      <xdr:rowOff>66007</xdr:rowOff>
    </xdr:to>
    <xdr:cxnSp macro="">
      <xdr:nvCxnSpPr>
        <xdr:cNvPr id="5" name="Straight Arrow Connector 20">
          <a:extLst>
            <a:ext uri="{FF2B5EF4-FFF2-40B4-BE49-F238E27FC236}">
              <a16:creationId xmlns:a16="http://schemas.microsoft.com/office/drawing/2014/main" id="{B16B3507-A7A7-49D4-9E3E-AD5EA7BF912E}"/>
            </a:ext>
          </a:extLst>
        </xdr:cNvPr>
        <xdr:cNvCxnSpPr>
          <a:cxnSpLocks/>
          <a:stCxn id="14" idx="0"/>
        </xdr:cNvCxnSpPr>
      </xdr:nvCxnSpPr>
      <xdr:spPr>
        <a:xfrm flipH="1" flipV="1">
          <a:off x="13811788" y="2312581"/>
          <a:ext cx="1845758" cy="37280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9999</xdr:colOff>
      <xdr:row>7</xdr:row>
      <xdr:rowOff>68424</xdr:rowOff>
    </xdr:from>
    <xdr:to>
      <xdr:col>11</xdr:col>
      <xdr:colOff>13173</xdr:colOff>
      <xdr:row>7</xdr:row>
      <xdr:rowOff>68424</xdr:rowOff>
    </xdr:to>
    <xdr:cxnSp macro="">
      <xdr:nvCxnSpPr>
        <xdr:cNvPr id="9" name="Straight Arrow Connector 5">
          <a:extLst>
            <a:ext uri="{FF2B5EF4-FFF2-40B4-BE49-F238E27FC236}">
              <a16:creationId xmlns:a16="http://schemas.microsoft.com/office/drawing/2014/main" id="{89546278-A58B-432F-9E59-89F142BF1150}"/>
            </a:ext>
          </a:extLst>
        </xdr:cNvPr>
        <xdr:cNvCxnSpPr/>
      </xdr:nvCxnSpPr>
      <xdr:spPr>
        <a:xfrm>
          <a:off x="12139246" y="2677153"/>
          <a:ext cx="953433"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938481</xdr:colOff>
      <xdr:row>24</xdr:row>
      <xdr:rowOff>166873</xdr:rowOff>
    </xdr:from>
    <xdr:to>
      <xdr:col>16</xdr:col>
      <xdr:colOff>463755</xdr:colOff>
      <xdr:row>26</xdr:row>
      <xdr:rowOff>6186</xdr:rowOff>
    </xdr:to>
    <xdr:cxnSp macro="">
      <xdr:nvCxnSpPr>
        <xdr:cNvPr id="8" name="Straight Arrow Connector 5">
          <a:extLst>
            <a:ext uri="{FF2B5EF4-FFF2-40B4-BE49-F238E27FC236}">
              <a16:creationId xmlns:a16="http://schemas.microsoft.com/office/drawing/2014/main" id="{B68BA362-CB4E-478B-9D07-93E1A02244F7}"/>
            </a:ext>
          </a:extLst>
        </xdr:cNvPr>
        <xdr:cNvCxnSpPr/>
      </xdr:nvCxnSpPr>
      <xdr:spPr>
        <a:xfrm flipH="1">
          <a:off x="19209163" y="6040623"/>
          <a:ext cx="982887" cy="2145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522791</xdr:colOff>
      <xdr:row>24</xdr:row>
      <xdr:rowOff>156304</xdr:rowOff>
    </xdr:from>
    <xdr:to>
      <xdr:col>18</xdr:col>
      <xdr:colOff>676356</xdr:colOff>
      <xdr:row>25</xdr:row>
      <xdr:rowOff>173841</xdr:rowOff>
    </xdr:to>
    <xdr:cxnSp macro="">
      <xdr:nvCxnSpPr>
        <xdr:cNvPr id="17" name="Straight Arrow Connector 5">
          <a:extLst>
            <a:ext uri="{FF2B5EF4-FFF2-40B4-BE49-F238E27FC236}">
              <a16:creationId xmlns:a16="http://schemas.microsoft.com/office/drawing/2014/main" id="{C4B36CC0-3029-4D7C-A5BF-1B727AF99C22}"/>
            </a:ext>
          </a:extLst>
        </xdr:cNvPr>
        <xdr:cNvCxnSpPr>
          <a:cxnSpLocks/>
          <a:stCxn id="6" idx="2"/>
        </xdr:cNvCxnSpPr>
      </xdr:nvCxnSpPr>
      <xdr:spPr>
        <a:xfrm>
          <a:off x="21722720" y="6102625"/>
          <a:ext cx="1282957" cy="19443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392875</xdr:colOff>
      <xdr:row>23</xdr:row>
      <xdr:rowOff>143783</xdr:rowOff>
    </xdr:from>
    <xdr:to>
      <xdr:col>14</xdr:col>
      <xdr:colOff>907897</xdr:colOff>
      <xdr:row>27</xdr:row>
      <xdr:rowOff>163286</xdr:rowOff>
    </xdr:to>
    <xdr:sp macro="" textlink="">
      <xdr:nvSpPr>
        <xdr:cNvPr id="10" name="TextBox 9">
          <a:extLst>
            <a:ext uri="{FF2B5EF4-FFF2-40B4-BE49-F238E27FC236}">
              <a16:creationId xmlns:a16="http://schemas.microsoft.com/office/drawing/2014/main" id="{D9A735F9-8FD7-4ADF-9904-D95A1A3501BA}"/>
            </a:ext>
          </a:extLst>
        </xdr:cNvPr>
        <xdr:cNvSpPr txBox="1"/>
      </xdr:nvSpPr>
      <xdr:spPr>
        <a:xfrm>
          <a:off x="15632875" y="5913212"/>
          <a:ext cx="2338379" cy="7270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453569</xdr:colOff>
      <xdr:row>17</xdr:row>
      <xdr:rowOff>140897</xdr:rowOff>
    </xdr:from>
    <xdr:to>
      <xdr:col>18</xdr:col>
      <xdr:colOff>354732</xdr:colOff>
      <xdr:row>20</xdr:row>
      <xdr:rowOff>67913</xdr:rowOff>
    </xdr:to>
    <xdr:sp macro="" textlink="">
      <xdr:nvSpPr>
        <xdr:cNvPr id="11" name="TextBox 10">
          <a:extLst>
            <a:ext uri="{FF2B5EF4-FFF2-40B4-BE49-F238E27FC236}">
              <a16:creationId xmlns:a16="http://schemas.microsoft.com/office/drawing/2014/main" id="{21C3482C-0372-41DA-A762-D7935B0BD0DC}"/>
            </a:ext>
          </a:extLst>
        </xdr:cNvPr>
        <xdr:cNvSpPr txBox="1"/>
      </xdr:nvSpPr>
      <xdr:spPr>
        <a:xfrm>
          <a:off x="18724251" y="4701352"/>
          <a:ext cx="395650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12</xdr:col>
      <xdr:colOff>473141</xdr:colOff>
      <xdr:row>7</xdr:row>
      <xdr:rowOff>66007</xdr:rowOff>
    </xdr:from>
    <xdr:to>
      <xdr:col>14</xdr:col>
      <xdr:colOff>933450</xdr:colOff>
      <xdr:row>10</xdr:row>
      <xdr:rowOff>161925</xdr:rowOff>
    </xdr:to>
    <xdr:sp macro="" textlink="">
      <xdr:nvSpPr>
        <xdr:cNvPr id="14" name="TextBox 13">
          <a:extLst>
            <a:ext uri="{FF2B5EF4-FFF2-40B4-BE49-F238E27FC236}">
              <a16:creationId xmlns:a16="http://schemas.microsoft.com/office/drawing/2014/main" id="{1B89E8CD-91F1-4157-B544-36C93E203044}"/>
            </a:ext>
          </a:extLst>
        </xdr:cNvPr>
        <xdr:cNvSpPr txBox="1"/>
      </xdr:nvSpPr>
      <xdr:spPr>
        <a:xfrm>
          <a:off x="14522516" y="2685382"/>
          <a:ext cx="2270059" cy="6388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6802</xdr:colOff>
      <xdr:row>19</xdr:row>
      <xdr:rowOff>13773</xdr:rowOff>
    </xdr:from>
    <xdr:to>
      <xdr:col>15</xdr:col>
      <xdr:colOff>450394</xdr:colOff>
      <xdr:row>19</xdr:row>
      <xdr:rowOff>85889</xdr:rowOff>
    </xdr:to>
    <xdr:cxnSp macro="">
      <xdr:nvCxnSpPr>
        <xdr:cNvPr id="15" name="Straight Arrow Connector 5">
          <a:extLst>
            <a:ext uri="{FF2B5EF4-FFF2-40B4-BE49-F238E27FC236}">
              <a16:creationId xmlns:a16="http://schemas.microsoft.com/office/drawing/2014/main" id="{7D69F201-13E6-4A55-8D72-D61BD7867809}"/>
            </a:ext>
          </a:extLst>
        </xdr:cNvPr>
        <xdr:cNvCxnSpPr>
          <a:stCxn id="11" idx="1"/>
        </xdr:cNvCxnSpPr>
      </xdr:nvCxnSpPr>
      <xdr:spPr>
        <a:xfrm flipH="1">
          <a:off x="18277484" y="4949455"/>
          <a:ext cx="443592" cy="721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1382280</xdr:colOff>
      <xdr:row>20</xdr:row>
      <xdr:rowOff>136071</xdr:rowOff>
    </xdr:from>
    <xdr:to>
      <xdr:col>18</xdr:col>
      <xdr:colOff>1458538</xdr:colOff>
      <xdr:row>24</xdr:row>
      <xdr:rowOff>156304</xdr:rowOff>
    </xdr:to>
    <xdr:sp macro="" textlink="">
      <xdr:nvSpPr>
        <xdr:cNvPr id="6" name="TextBox 27">
          <a:extLst>
            <a:ext uri="{FF2B5EF4-FFF2-40B4-BE49-F238E27FC236}">
              <a16:creationId xmlns:a16="http://schemas.microsoft.com/office/drawing/2014/main" id="{8BC94696-1BB5-4FC3-BD54-9E83B9AD1FB0}"/>
            </a:ext>
          </a:extLst>
        </xdr:cNvPr>
        <xdr:cNvSpPr txBox="1"/>
      </xdr:nvSpPr>
      <xdr:spPr>
        <a:xfrm>
          <a:off x="19670280" y="5374821"/>
          <a:ext cx="4117579" cy="7278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3F470869-3BD5-42DF-8396-4155FF66D3D5}"/>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13</xdr:col>
      <xdr:colOff>550779</xdr:colOff>
      <xdr:row>20</xdr:row>
      <xdr:rowOff>46827</xdr:rowOff>
    </xdr:from>
    <xdr:to>
      <xdr:col>13</xdr:col>
      <xdr:colOff>967548</xdr:colOff>
      <xdr:row>24</xdr:row>
      <xdr:rowOff>18086</xdr:rowOff>
    </xdr:to>
    <xdr:cxnSp macro="">
      <xdr:nvCxnSpPr>
        <xdr:cNvPr id="2" name="Straight Arrow Connector 5">
          <a:extLst>
            <a:ext uri="{FF2B5EF4-FFF2-40B4-BE49-F238E27FC236}">
              <a16:creationId xmlns:a16="http://schemas.microsoft.com/office/drawing/2014/main" id="{F3058496-C2F2-41F0-9153-DB28ED8B9F43}"/>
            </a:ext>
          </a:extLst>
        </xdr:cNvPr>
        <xdr:cNvCxnSpPr>
          <a:stCxn id="10" idx="0"/>
        </xdr:cNvCxnSpPr>
      </xdr:nvCxnSpPr>
      <xdr:spPr>
        <a:xfrm flipH="1" flipV="1">
          <a:off x="15114504" y="5018877"/>
          <a:ext cx="416769" cy="69515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27048</xdr:colOff>
      <xdr:row>7</xdr:row>
      <xdr:rowOff>125903</xdr:rowOff>
    </xdr:from>
    <xdr:to>
      <xdr:col>12</xdr:col>
      <xdr:colOff>495133</xdr:colOff>
      <xdr:row>19</xdr:row>
      <xdr:rowOff>88662</xdr:rowOff>
    </xdr:to>
    <xdr:cxnSp macro="">
      <xdr:nvCxnSpPr>
        <xdr:cNvPr id="20" name="Straight Arrow Connector 2">
          <a:extLst>
            <a:ext uri="{FF2B5EF4-FFF2-40B4-BE49-F238E27FC236}">
              <a16:creationId xmlns:a16="http://schemas.microsoft.com/office/drawing/2014/main" id="{90C88921-FD9B-48A2-9B95-14C76BE608DB}"/>
            </a:ext>
          </a:extLst>
        </xdr:cNvPr>
        <xdr:cNvCxnSpPr/>
      </xdr:nvCxnSpPr>
      <xdr:spPr>
        <a:xfrm>
          <a:off x="14164153" y="2782877"/>
          <a:ext cx="468085" cy="206828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2102</xdr:colOff>
      <xdr:row>19</xdr:row>
      <xdr:rowOff>112796</xdr:rowOff>
    </xdr:from>
    <xdr:to>
      <xdr:col>13</xdr:col>
      <xdr:colOff>25066</xdr:colOff>
      <xdr:row>19</xdr:row>
      <xdr:rowOff>112796</xdr:rowOff>
    </xdr:to>
    <xdr:cxnSp macro="">
      <xdr:nvCxnSpPr>
        <xdr:cNvPr id="22" name="Straight Arrow Connector 3">
          <a:extLst>
            <a:ext uri="{FF2B5EF4-FFF2-40B4-BE49-F238E27FC236}">
              <a16:creationId xmlns:a16="http://schemas.microsoft.com/office/drawing/2014/main" id="{D0187764-4A9F-4A66-B1A1-73F819E1A0D5}"/>
            </a:ext>
          </a:extLst>
        </xdr:cNvPr>
        <xdr:cNvCxnSpPr/>
      </xdr:nvCxnSpPr>
      <xdr:spPr>
        <a:xfrm flipV="1">
          <a:off x="14067726" y="5240608"/>
          <a:ext cx="533952"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679546</xdr:colOff>
      <xdr:row>5</xdr:row>
      <xdr:rowOff>20364</xdr:rowOff>
    </xdr:from>
    <xdr:to>
      <xdr:col>13</xdr:col>
      <xdr:colOff>1012909</xdr:colOff>
      <xdr:row>7</xdr:row>
      <xdr:rowOff>34734</xdr:rowOff>
    </xdr:to>
    <xdr:cxnSp macro="">
      <xdr:nvCxnSpPr>
        <xdr:cNvPr id="5" name="Straight Arrow Connector 20">
          <a:extLst>
            <a:ext uri="{FF2B5EF4-FFF2-40B4-BE49-F238E27FC236}">
              <a16:creationId xmlns:a16="http://schemas.microsoft.com/office/drawing/2014/main" id="{EF0BF379-F4D6-4DF6-9EA1-2E37B8C46053}"/>
            </a:ext>
          </a:extLst>
        </xdr:cNvPr>
        <xdr:cNvCxnSpPr>
          <a:cxnSpLocks/>
        </xdr:cNvCxnSpPr>
      </xdr:nvCxnSpPr>
      <xdr:spPr>
        <a:xfrm flipH="1" flipV="1">
          <a:off x="13839085" y="2313884"/>
          <a:ext cx="1812245" cy="37782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47626</xdr:colOff>
      <xdr:row>7</xdr:row>
      <xdr:rowOff>68680</xdr:rowOff>
    </xdr:from>
    <xdr:to>
      <xdr:col>11</xdr:col>
      <xdr:colOff>60158</xdr:colOff>
      <xdr:row>7</xdr:row>
      <xdr:rowOff>68680</xdr:rowOff>
    </xdr:to>
    <xdr:cxnSp macro="">
      <xdr:nvCxnSpPr>
        <xdr:cNvPr id="4" name="Straight Arrow Connector 5">
          <a:extLst>
            <a:ext uri="{FF2B5EF4-FFF2-40B4-BE49-F238E27FC236}">
              <a16:creationId xmlns:a16="http://schemas.microsoft.com/office/drawing/2014/main" id="{64B2E11B-DEAC-4B61-94B3-83A081CB4B8F}"/>
            </a:ext>
          </a:extLst>
        </xdr:cNvPr>
        <xdr:cNvCxnSpPr/>
      </xdr:nvCxnSpPr>
      <xdr:spPr>
        <a:xfrm flipV="1">
          <a:off x="12176873" y="2677409"/>
          <a:ext cx="962791"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735813</xdr:colOff>
      <xdr:row>24</xdr:row>
      <xdr:rowOff>137862</xdr:rowOff>
    </xdr:from>
    <xdr:to>
      <xdr:col>16</xdr:col>
      <xdr:colOff>162928</xdr:colOff>
      <xdr:row>25</xdr:row>
      <xdr:rowOff>145431</xdr:rowOff>
    </xdr:to>
    <xdr:cxnSp macro="">
      <xdr:nvCxnSpPr>
        <xdr:cNvPr id="18" name="Straight Arrow Connector 5">
          <a:extLst>
            <a:ext uri="{FF2B5EF4-FFF2-40B4-BE49-F238E27FC236}">
              <a16:creationId xmlns:a16="http://schemas.microsoft.com/office/drawing/2014/main" id="{9465D410-2AD2-49DB-9A86-CFE059B87270}"/>
            </a:ext>
          </a:extLst>
        </xdr:cNvPr>
        <xdr:cNvCxnSpPr/>
      </xdr:nvCxnSpPr>
      <xdr:spPr>
        <a:xfrm flipH="1">
          <a:off x="17918412" y="5978191"/>
          <a:ext cx="880930" cy="18302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640225</xdr:colOff>
      <xdr:row>24</xdr:row>
      <xdr:rowOff>145420</xdr:rowOff>
    </xdr:from>
    <xdr:to>
      <xdr:col>18</xdr:col>
      <xdr:colOff>388520</xdr:colOff>
      <xdr:row>25</xdr:row>
      <xdr:rowOff>137862</xdr:rowOff>
    </xdr:to>
    <xdr:cxnSp macro="">
      <xdr:nvCxnSpPr>
        <xdr:cNvPr id="23" name="Straight Arrow Connector 5">
          <a:extLst>
            <a:ext uri="{FF2B5EF4-FFF2-40B4-BE49-F238E27FC236}">
              <a16:creationId xmlns:a16="http://schemas.microsoft.com/office/drawing/2014/main" id="{22E94D39-36C0-495D-AF4E-E763348DCCEC}"/>
            </a:ext>
          </a:extLst>
        </xdr:cNvPr>
        <xdr:cNvCxnSpPr>
          <a:cxnSpLocks/>
          <a:stCxn id="6" idx="2"/>
        </xdr:cNvCxnSpPr>
      </xdr:nvCxnSpPr>
      <xdr:spPr>
        <a:xfrm>
          <a:off x="20730455" y="5985749"/>
          <a:ext cx="876256" cy="16790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315132</xdr:colOff>
      <xdr:row>24</xdr:row>
      <xdr:rowOff>18086</xdr:rowOff>
    </xdr:from>
    <xdr:to>
      <xdr:col>14</xdr:col>
      <xdr:colOff>838913</xdr:colOff>
      <xdr:row>27</xdr:row>
      <xdr:rowOff>133350</xdr:rowOff>
    </xdr:to>
    <xdr:sp macro="" textlink="">
      <xdr:nvSpPr>
        <xdr:cNvPr id="10" name="TextBox 9">
          <a:extLst>
            <a:ext uri="{FF2B5EF4-FFF2-40B4-BE49-F238E27FC236}">
              <a16:creationId xmlns:a16="http://schemas.microsoft.com/office/drawing/2014/main" id="{48A3728C-D066-4D58-8F26-5A45E31984DC}"/>
            </a:ext>
          </a:extLst>
        </xdr:cNvPr>
        <xdr:cNvSpPr txBox="1"/>
      </xdr:nvSpPr>
      <xdr:spPr>
        <a:xfrm>
          <a:off x="14364507" y="5714036"/>
          <a:ext cx="2333531" cy="6581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505874</xdr:colOff>
      <xdr:row>17</xdr:row>
      <xdr:rowOff>108859</xdr:rowOff>
    </xdr:from>
    <xdr:to>
      <xdr:col>18</xdr:col>
      <xdr:colOff>426786</xdr:colOff>
      <xdr:row>20</xdr:row>
      <xdr:rowOff>75508</xdr:rowOff>
    </xdr:to>
    <xdr:sp macro="" textlink="">
      <xdr:nvSpPr>
        <xdr:cNvPr id="11" name="TextBox 10">
          <a:extLst>
            <a:ext uri="{FF2B5EF4-FFF2-40B4-BE49-F238E27FC236}">
              <a16:creationId xmlns:a16="http://schemas.microsoft.com/office/drawing/2014/main" id="{2B0DC69D-5594-4B6C-91CE-5885210A8C69}"/>
            </a:ext>
          </a:extLst>
        </xdr:cNvPr>
        <xdr:cNvSpPr txBox="1"/>
      </xdr:nvSpPr>
      <xdr:spPr>
        <a:xfrm>
          <a:off x="17688473" y="4520438"/>
          <a:ext cx="3956504" cy="49303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13</xdr:col>
      <xdr:colOff>9525</xdr:colOff>
      <xdr:row>6</xdr:row>
      <xdr:rowOff>168786</xdr:rowOff>
    </xdr:from>
    <xdr:to>
      <xdr:col>14</xdr:col>
      <xdr:colOff>950949</xdr:colOff>
      <xdr:row>10</xdr:row>
      <xdr:rowOff>95250</xdr:rowOff>
    </xdr:to>
    <xdr:sp macro="" textlink="">
      <xdr:nvSpPr>
        <xdr:cNvPr id="14" name="TextBox 13">
          <a:extLst>
            <a:ext uri="{FF2B5EF4-FFF2-40B4-BE49-F238E27FC236}">
              <a16:creationId xmlns:a16="http://schemas.microsoft.com/office/drawing/2014/main" id="{E1AC78AF-4DCD-4B97-982C-934934CC9A36}"/>
            </a:ext>
          </a:extLst>
        </xdr:cNvPr>
        <xdr:cNvSpPr txBox="1"/>
      </xdr:nvSpPr>
      <xdr:spPr>
        <a:xfrm>
          <a:off x="14573250" y="2607186"/>
          <a:ext cx="2236824" cy="65036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46407</xdr:colOff>
      <xdr:row>19</xdr:row>
      <xdr:rowOff>6041</xdr:rowOff>
    </xdr:from>
    <xdr:to>
      <xdr:col>15</xdr:col>
      <xdr:colOff>502699</xdr:colOff>
      <xdr:row>19</xdr:row>
      <xdr:rowOff>84507</xdr:rowOff>
    </xdr:to>
    <xdr:cxnSp macro="">
      <xdr:nvCxnSpPr>
        <xdr:cNvPr id="15" name="Straight Arrow Connector 5">
          <a:extLst>
            <a:ext uri="{FF2B5EF4-FFF2-40B4-BE49-F238E27FC236}">
              <a16:creationId xmlns:a16="http://schemas.microsoft.com/office/drawing/2014/main" id="{1AB5B68C-2401-43BD-AD1D-87D1C4515045}"/>
            </a:ext>
          </a:extLst>
        </xdr:cNvPr>
        <xdr:cNvCxnSpPr>
          <a:stCxn id="11" idx="1"/>
        </xdr:cNvCxnSpPr>
      </xdr:nvCxnSpPr>
      <xdr:spPr>
        <a:xfrm flipH="1">
          <a:off x="17229006" y="4768541"/>
          <a:ext cx="456292" cy="7846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25066</xdr:colOff>
      <xdr:row>21</xdr:row>
      <xdr:rowOff>37599</xdr:rowOff>
    </xdr:from>
    <xdr:to>
      <xdr:col>18</xdr:col>
      <xdr:colOff>1578063</xdr:colOff>
      <xdr:row>24</xdr:row>
      <xdr:rowOff>142245</xdr:rowOff>
    </xdr:to>
    <xdr:sp macro="" textlink="">
      <xdr:nvSpPr>
        <xdr:cNvPr id="6" name="TextBox 27">
          <a:extLst>
            <a:ext uri="{FF2B5EF4-FFF2-40B4-BE49-F238E27FC236}">
              <a16:creationId xmlns:a16="http://schemas.microsoft.com/office/drawing/2014/main" id="{BC5982BC-B3E1-4E87-935A-940178E08536}"/>
            </a:ext>
          </a:extLst>
        </xdr:cNvPr>
        <xdr:cNvSpPr txBox="1"/>
      </xdr:nvSpPr>
      <xdr:spPr>
        <a:xfrm>
          <a:off x="18661480" y="5351546"/>
          <a:ext cx="413477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8DEF5D5D-D955-4B33-828C-93EA44930285}"/>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13</xdr:col>
      <xdr:colOff>692438</xdr:colOff>
      <xdr:row>20</xdr:row>
      <xdr:rowOff>47955</xdr:rowOff>
    </xdr:from>
    <xdr:to>
      <xdr:col>13</xdr:col>
      <xdr:colOff>1129811</xdr:colOff>
      <xdr:row>23</xdr:row>
      <xdr:rowOff>155040</xdr:rowOff>
    </xdr:to>
    <xdr:cxnSp macro="">
      <xdr:nvCxnSpPr>
        <xdr:cNvPr id="2" name="Straight Arrow Connector 5">
          <a:extLst>
            <a:ext uri="{FF2B5EF4-FFF2-40B4-BE49-F238E27FC236}">
              <a16:creationId xmlns:a16="http://schemas.microsoft.com/office/drawing/2014/main" id="{C07D39FD-CD8A-4E60-80F4-14327893C8F5}"/>
            </a:ext>
          </a:extLst>
        </xdr:cNvPr>
        <xdr:cNvCxnSpPr>
          <a:stCxn id="10" idx="0"/>
        </xdr:cNvCxnSpPr>
      </xdr:nvCxnSpPr>
      <xdr:spPr>
        <a:xfrm flipH="1" flipV="1">
          <a:off x="16307665" y="5171250"/>
          <a:ext cx="437373" cy="66992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6350</xdr:colOff>
      <xdr:row>7</xdr:row>
      <xdr:rowOff>82550</xdr:rowOff>
    </xdr:from>
    <xdr:to>
      <xdr:col>13</xdr:col>
      <xdr:colOff>114300</xdr:colOff>
      <xdr:row>18</xdr:row>
      <xdr:rowOff>171450</xdr:rowOff>
    </xdr:to>
    <xdr:cxnSp macro="">
      <xdr:nvCxnSpPr>
        <xdr:cNvPr id="47" name="Straight Arrow Connector 2">
          <a:extLst>
            <a:ext uri="{FF2B5EF4-FFF2-40B4-BE49-F238E27FC236}">
              <a16:creationId xmlns:a16="http://schemas.microsoft.com/office/drawing/2014/main" id="{D7931111-0E97-415A-9B1F-4D6FDDB945BC}"/>
            </a:ext>
          </a:extLst>
        </xdr:cNvPr>
        <xdr:cNvCxnSpPr/>
      </xdr:nvCxnSpPr>
      <xdr:spPr>
        <a:xfrm>
          <a:off x="15084425" y="2635250"/>
          <a:ext cx="612775" cy="22701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964582</xdr:colOff>
      <xdr:row>19</xdr:row>
      <xdr:rowOff>101023</xdr:rowOff>
    </xdr:from>
    <xdr:to>
      <xdr:col>13</xdr:col>
      <xdr:colOff>14432</xdr:colOff>
      <xdr:row>19</xdr:row>
      <xdr:rowOff>101023</xdr:rowOff>
    </xdr:to>
    <xdr:cxnSp macro="">
      <xdr:nvCxnSpPr>
        <xdr:cNvPr id="20" name="Straight Arrow Connector 3">
          <a:extLst>
            <a:ext uri="{FF2B5EF4-FFF2-40B4-BE49-F238E27FC236}">
              <a16:creationId xmlns:a16="http://schemas.microsoft.com/office/drawing/2014/main" id="{E1A18925-A204-4329-A7B1-B091EC61A961}"/>
            </a:ext>
          </a:extLst>
        </xdr:cNvPr>
        <xdr:cNvCxnSpPr/>
      </xdr:nvCxnSpPr>
      <xdr:spPr>
        <a:xfrm flipV="1">
          <a:off x="14044088" y="5228835"/>
          <a:ext cx="546956"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778065</xdr:colOff>
      <xdr:row>5</xdr:row>
      <xdr:rowOff>53424</xdr:rowOff>
    </xdr:from>
    <xdr:to>
      <xdr:col>13</xdr:col>
      <xdr:colOff>1090963</xdr:colOff>
      <xdr:row>7</xdr:row>
      <xdr:rowOff>49035</xdr:rowOff>
    </xdr:to>
    <xdr:cxnSp macro="">
      <xdr:nvCxnSpPr>
        <xdr:cNvPr id="5" name="Straight Arrow Connector 20">
          <a:extLst>
            <a:ext uri="{FF2B5EF4-FFF2-40B4-BE49-F238E27FC236}">
              <a16:creationId xmlns:a16="http://schemas.microsoft.com/office/drawing/2014/main" id="{FBACAE4C-1745-4028-810A-65EAF77C1CA6}"/>
            </a:ext>
          </a:extLst>
        </xdr:cNvPr>
        <xdr:cNvCxnSpPr>
          <a:cxnSpLocks/>
          <a:stCxn id="14" idx="0"/>
        </xdr:cNvCxnSpPr>
      </xdr:nvCxnSpPr>
      <xdr:spPr>
        <a:xfrm flipH="1" flipV="1">
          <a:off x="13846365" y="2301324"/>
          <a:ext cx="1808323" cy="36708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945264</xdr:colOff>
      <xdr:row>7</xdr:row>
      <xdr:rowOff>59460</xdr:rowOff>
    </xdr:from>
    <xdr:to>
      <xdr:col>11</xdr:col>
      <xdr:colOff>24430</xdr:colOff>
      <xdr:row>7</xdr:row>
      <xdr:rowOff>59460</xdr:rowOff>
    </xdr:to>
    <xdr:cxnSp macro="">
      <xdr:nvCxnSpPr>
        <xdr:cNvPr id="45" name="Straight Arrow Connector 5">
          <a:extLst>
            <a:ext uri="{FF2B5EF4-FFF2-40B4-BE49-F238E27FC236}">
              <a16:creationId xmlns:a16="http://schemas.microsoft.com/office/drawing/2014/main" id="{E1411F2B-7F45-4DB5-98A7-B9C06ACC6456}"/>
            </a:ext>
          </a:extLst>
        </xdr:cNvPr>
        <xdr:cNvCxnSpPr/>
      </xdr:nvCxnSpPr>
      <xdr:spPr>
        <a:xfrm flipV="1">
          <a:off x="12115288" y="2668189"/>
          <a:ext cx="988648"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779732</xdr:colOff>
      <xdr:row>24</xdr:row>
      <xdr:rowOff>166873</xdr:rowOff>
    </xdr:from>
    <xdr:to>
      <xdr:col>16</xdr:col>
      <xdr:colOff>305006</xdr:colOff>
      <xdr:row>26</xdr:row>
      <xdr:rowOff>6186</xdr:rowOff>
    </xdr:to>
    <xdr:cxnSp macro="">
      <xdr:nvCxnSpPr>
        <xdr:cNvPr id="8" name="Straight Arrow Connector 5">
          <a:extLst>
            <a:ext uri="{FF2B5EF4-FFF2-40B4-BE49-F238E27FC236}">
              <a16:creationId xmlns:a16="http://schemas.microsoft.com/office/drawing/2014/main" id="{FBD0584F-D869-4F3D-8570-C1C0BDA0836B}"/>
            </a:ext>
          </a:extLst>
        </xdr:cNvPr>
        <xdr:cNvCxnSpPr/>
      </xdr:nvCxnSpPr>
      <xdr:spPr>
        <a:xfrm flipH="1">
          <a:off x="18934959" y="6040623"/>
          <a:ext cx="982888" cy="2145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391709</xdr:colOff>
      <xdr:row>24</xdr:row>
      <xdr:rowOff>143521</xdr:rowOff>
    </xdr:from>
    <xdr:to>
      <xdr:col>18</xdr:col>
      <xdr:colOff>523957</xdr:colOff>
      <xdr:row>25</xdr:row>
      <xdr:rowOff>149802</xdr:rowOff>
    </xdr:to>
    <xdr:cxnSp macro="">
      <xdr:nvCxnSpPr>
        <xdr:cNvPr id="17" name="Straight Arrow Connector 5">
          <a:extLst>
            <a:ext uri="{FF2B5EF4-FFF2-40B4-BE49-F238E27FC236}">
              <a16:creationId xmlns:a16="http://schemas.microsoft.com/office/drawing/2014/main" id="{A26F2912-9D38-401E-8E83-DBA2C03D53F8}"/>
            </a:ext>
          </a:extLst>
        </xdr:cNvPr>
        <xdr:cNvCxnSpPr>
          <a:cxnSpLocks/>
          <a:stCxn id="6" idx="2"/>
        </xdr:cNvCxnSpPr>
      </xdr:nvCxnSpPr>
      <xdr:spPr>
        <a:xfrm>
          <a:off x="21462164" y="6089430"/>
          <a:ext cx="1272361" cy="1938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461859</xdr:colOff>
      <xdr:row>23</xdr:row>
      <xdr:rowOff>161390</xdr:rowOff>
    </xdr:from>
    <xdr:to>
      <xdr:col>14</xdr:col>
      <xdr:colOff>976881</xdr:colOff>
      <xdr:row>27</xdr:row>
      <xdr:rowOff>51034</xdr:rowOff>
    </xdr:to>
    <xdr:sp macro="" textlink="">
      <xdr:nvSpPr>
        <xdr:cNvPr id="10" name="TextBox 9">
          <a:extLst>
            <a:ext uri="{FF2B5EF4-FFF2-40B4-BE49-F238E27FC236}">
              <a16:creationId xmlns:a16="http://schemas.microsoft.com/office/drawing/2014/main" id="{3DB0886A-9355-4B0A-9902-A95670576EAA}"/>
            </a:ext>
          </a:extLst>
        </xdr:cNvPr>
        <xdr:cNvSpPr txBox="1"/>
      </xdr:nvSpPr>
      <xdr:spPr>
        <a:xfrm>
          <a:off x="15571973" y="5847526"/>
          <a:ext cx="2333431" cy="6400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main output.</a:t>
          </a:r>
          <a:endParaRPr lang="en-GB" sz="1100"/>
        </a:p>
      </xdr:txBody>
    </xdr:sp>
    <xdr:clientData/>
  </xdr:twoCellAnchor>
  <xdr:twoCellAnchor>
    <xdr:from>
      <xdr:col>15</xdr:col>
      <xdr:colOff>468002</xdr:colOff>
      <xdr:row>17</xdr:row>
      <xdr:rowOff>112034</xdr:rowOff>
    </xdr:from>
    <xdr:to>
      <xdr:col>18</xdr:col>
      <xdr:colOff>369165</xdr:colOff>
      <xdr:row>20</xdr:row>
      <xdr:rowOff>39050</xdr:rowOff>
    </xdr:to>
    <xdr:sp macro="" textlink="">
      <xdr:nvSpPr>
        <xdr:cNvPr id="11" name="TextBox 10">
          <a:extLst>
            <a:ext uri="{FF2B5EF4-FFF2-40B4-BE49-F238E27FC236}">
              <a16:creationId xmlns:a16="http://schemas.microsoft.com/office/drawing/2014/main" id="{983D7136-DEBF-4893-BE71-9F75062BC79E}"/>
            </a:ext>
          </a:extLst>
        </xdr:cNvPr>
        <xdr:cNvSpPr txBox="1"/>
      </xdr:nvSpPr>
      <xdr:spPr>
        <a:xfrm>
          <a:off x="18623229" y="4672489"/>
          <a:ext cx="395650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13</xdr:col>
      <xdr:colOff>701</xdr:colOff>
      <xdr:row>7</xdr:row>
      <xdr:rowOff>49035</xdr:rowOff>
    </xdr:from>
    <xdr:to>
      <xdr:col>14</xdr:col>
      <xdr:colOff>885825</xdr:colOff>
      <xdr:row>10</xdr:row>
      <xdr:rowOff>133350</xdr:rowOff>
    </xdr:to>
    <xdr:sp macro="" textlink="">
      <xdr:nvSpPr>
        <xdr:cNvPr id="14" name="TextBox 13">
          <a:extLst>
            <a:ext uri="{FF2B5EF4-FFF2-40B4-BE49-F238E27FC236}">
              <a16:creationId xmlns:a16="http://schemas.microsoft.com/office/drawing/2014/main" id="{13C00F0C-5E28-4FA6-8E84-C05BDD7B7403}"/>
            </a:ext>
          </a:extLst>
        </xdr:cNvPr>
        <xdr:cNvSpPr txBox="1"/>
      </xdr:nvSpPr>
      <xdr:spPr>
        <a:xfrm>
          <a:off x="14564426" y="2668410"/>
          <a:ext cx="2180524" cy="6272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15</xdr:col>
      <xdr:colOff>21236</xdr:colOff>
      <xdr:row>18</xdr:row>
      <xdr:rowOff>172524</xdr:rowOff>
    </xdr:from>
    <xdr:to>
      <xdr:col>15</xdr:col>
      <xdr:colOff>464827</xdr:colOff>
      <xdr:row>19</xdr:row>
      <xdr:rowOff>57026</xdr:rowOff>
    </xdr:to>
    <xdr:cxnSp macro="">
      <xdr:nvCxnSpPr>
        <xdr:cNvPr id="15" name="Straight Arrow Connector 5">
          <a:extLst>
            <a:ext uri="{FF2B5EF4-FFF2-40B4-BE49-F238E27FC236}">
              <a16:creationId xmlns:a16="http://schemas.microsoft.com/office/drawing/2014/main" id="{19CD4E35-8A8B-4080-9814-51D0A5CCDBB4}"/>
            </a:ext>
          </a:extLst>
        </xdr:cNvPr>
        <xdr:cNvCxnSpPr>
          <a:stCxn id="11" idx="1"/>
        </xdr:cNvCxnSpPr>
      </xdr:nvCxnSpPr>
      <xdr:spPr>
        <a:xfrm flipH="1">
          <a:off x="18176463" y="4920592"/>
          <a:ext cx="443591" cy="721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1241137</xdr:colOff>
      <xdr:row>21</xdr:row>
      <xdr:rowOff>72159</xdr:rowOff>
    </xdr:from>
    <xdr:to>
      <xdr:col>18</xdr:col>
      <xdr:colOff>1317395</xdr:colOff>
      <xdr:row>24</xdr:row>
      <xdr:rowOff>140346</xdr:rowOff>
    </xdr:to>
    <xdr:sp macro="" textlink="">
      <xdr:nvSpPr>
        <xdr:cNvPr id="6" name="TextBox 27">
          <a:extLst>
            <a:ext uri="{FF2B5EF4-FFF2-40B4-BE49-F238E27FC236}">
              <a16:creationId xmlns:a16="http://schemas.microsoft.com/office/drawing/2014/main" id="{F5D45A6F-CB39-47AE-9F9A-08A5B53E4A85}"/>
            </a:ext>
          </a:extLst>
        </xdr:cNvPr>
        <xdr:cNvSpPr txBox="1"/>
      </xdr:nvSpPr>
      <xdr:spPr>
        <a:xfrm>
          <a:off x="19396364" y="5455227"/>
          <a:ext cx="4131599"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B6D829E1-1900-4D88-8991-168922FEFF95}"/>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33</xdr:row>
      <xdr:rowOff>0</xdr:rowOff>
    </xdr:from>
    <xdr:to>
      <xdr:col>9</xdr:col>
      <xdr:colOff>536864</xdr:colOff>
      <xdr:row>47</xdr:row>
      <xdr:rowOff>103909</xdr:rowOff>
    </xdr:to>
    <xdr:grpSp>
      <xdr:nvGrpSpPr>
        <xdr:cNvPr id="5" name="Group 4">
          <a:extLst>
            <a:ext uri="{FF2B5EF4-FFF2-40B4-BE49-F238E27FC236}">
              <a16:creationId xmlns:a16="http://schemas.microsoft.com/office/drawing/2014/main" id="{9C62CAAD-A5ED-4EBB-A3AA-4AF3D8EFDEF4}"/>
            </a:ext>
          </a:extLst>
        </xdr:cNvPr>
        <xdr:cNvGrpSpPr/>
      </xdr:nvGrpSpPr>
      <xdr:grpSpPr>
        <a:xfrm>
          <a:off x="609600" y="6667500"/>
          <a:ext cx="5413664" cy="2635654"/>
          <a:chOff x="606136" y="6987886"/>
          <a:chExt cx="6565546" cy="3307336"/>
        </a:xfrm>
      </xdr:grpSpPr>
      <xdr:pic>
        <xdr:nvPicPr>
          <xdr:cNvPr id="2" name="Picture 1">
            <a:extLst>
              <a:ext uri="{FF2B5EF4-FFF2-40B4-BE49-F238E27FC236}">
                <a16:creationId xmlns:a16="http://schemas.microsoft.com/office/drawing/2014/main" id="{B522A175-6F4F-4ED2-BA8B-FE05D951EAA2}"/>
              </a:ext>
            </a:extLst>
          </xdr:cNvPr>
          <xdr:cNvPicPr>
            <a:picLocks noChangeAspect="1"/>
          </xdr:cNvPicPr>
        </xdr:nvPicPr>
        <xdr:blipFill>
          <a:blip xmlns:r="http://schemas.openxmlformats.org/officeDocument/2006/relationships" r:embed="rId1"/>
          <a:stretch>
            <a:fillRect/>
          </a:stretch>
        </xdr:blipFill>
        <xdr:spPr>
          <a:xfrm>
            <a:off x="606136" y="6987886"/>
            <a:ext cx="6565546" cy="2593067"/>
          </a:xfrm>
          <a:prstGeom prst="rect">
            <a:avLst/>
          </a:prstGeom>
        </xdr:spPr>
      </xdr:pic>
      <xdr:pic>
        <xdr:nvPicPr>
          <xdr:cNvPr id="4" name="Picture 3">
            <a:extLst>
              <a:ext uri="{FF2B5EF4-FFF2-40B4-BE49-F238E27FC236}">
                <a16:creationId xmlns:a16="http://schemas.microsoft.com/office/drawing/2014/main" id="{5496E52C-065B-479D-AC25-1331FACC37C4}"/>
              </a:ext>
            </a:extLst>
          </xdr:cNvPr>
          <xdr:cNvPicPr>
            <a:picLocks noChangeAspect="1"/>
          </xdr:cNvPicPr>
        </xdr:nvPicPr>
        <xdr:blipFill>
          <a:blip xmlns:r="http://schemas.openxmlformats.org/officeDocument/2006/relationships" r:embed="rId2"/>
          <a:stretch>
            <a:fillRect/>
          </a:stretch>
        </xdr:blipFill>
        <xdr:spPr>
          <a:xfrm>
            <a:off x="798714" y="9538839"/>
            <a:ext cx="6037783" cy="756383"/>
          </a:xfrm>
          <a:prstGeom prst="rect">
            <a:avLst/>
          </a:prstGeom>
        </xdr:spPr>
      </xdr:pic>
    </xdr:grpSp>
    <xdr:clientData/>
  </xdr:twoCellAnchor>
  <xdr:twoCellAnchor editAs="oneCell">
    <xdr:from>
      <xdr:col>1</xdr:col>
      <xdr:colOff>11206</xdr:colOff>
      <xdr:row>11</xdr:row>
      <xdr:rowOff>89647</xdr:rowOff>
    </xdr:from>
    <xdr:to>
      <xdr:col>27</xdr:col>
      <xdr:colOff>425276</xdr:colOff>
      <xdr:row>25</xdr:row>
      <xdr:rowOff>136398</xdr:rowOff>
    </xdr:to>
    <xdr:pic>
      <xdr:nvPicPr>
        <xdr:cNvPr id="3" name="Picture 2">
          <a:extLst>
            <a:ext uri="{FF2B5EF4-FFF2-40B4-BE49-F238E27FC236}">
              <a16:creationId xmlns:a16="http://schemas.microsoft.com/office/drawing/2014/main" id="{AAB1ED55-C234-4900-943F-F906F551877D}"/>
            </a:ext>
          </a:extLst>
        </xdr:cNvPr>
        <xdr:cNvPicPr>
          <a:picLocks noChangeAspect="1"/>
        </xdr:cNvPicPr>
      </xdr:nvPicPr>
      <xdr:blipFill>
        <a:blip xmlns:r="http://schemas.openxmlformats.org/officeDocument/2006/relationships" r:embed="rId3"/>
        <a:stretch>
          <a:fillRect/>
        </a:stretch>
      </xdr:blipFill>
      <xdr:spPr>
        <a:xfrm>
          <a:off x="616324" y="2117912"/>
          <a:ext cx="16145223" cy="25606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13</xdr:col>
      <xdr:colOff>742950</xdr:colOff>
      <xdr:row>9</xdr:row>
      <xdr:rowOff>0</xdr:rowOff>
    </xdr:from>
    <xdr:to>
      <xdr:col>13</xdr:col>
      <xdr:colOff>933994</xdr:colOff>
      <xdr:row>13</xdr:row>
      <xdr:rowOff>171814</xdr:rowOff>
    </xdr:to>
    <xdr:cxnSp macro="">
      <xdr:nvCxnSpPr>
        <xdr:cNvPr id="2" name="Straight Arrow Connector 5">
          <a:extLst>
            <a:ext uri="{FF2B5EF4-FFF2-40B4-BE49-F238E27FC236}">
              <a16:creationId xmlns:a16="http://schemas.microsoft.com/office/drawing/2014/main" id="{08E29468-3B3D-4DDC-A22E-77C8D55F8A0C}"/>
            </a:ext>
          </a:extLst>
        </xdr:cNvPr>
        <xdr:cNvCxnSpPr>
          <a:stCxn id="4" idx="0"/>
        </xdr:cNvCxnSpPr>
      </xdr:nvCxnSpPr>
      <xdr:spPr>
        <a:xfrm flipH="1" flipV="1">
          <a:off x="15306675" y="2981325"/>
          <a:ext cx="191044" cy="89571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30844</xdr:colOff>
      <xdr:row>7</xdr:row>
      <xdr:rowOff>84365</xdr:rowOff>
    </xdr:from>
    <xdr:to>
      <xdr:col>13</xdr:col>
      <xdr:colOff>19050</xdr:colOff>
      <xdr:row>8</xdr:row>
      <xdr:rowOff>76200</xdr:rowOff>
    </xdr:to>
    <xdr:cxnSp macro="">
      <xdr:nvCxnSpPr>
        <xdr:cNvPr id="24" name="Straight Arrow Connector 2">
          <a:extLst>
            <a:ext uri="{FF2B5EF4-FFF2-40B4-BE49-F238E27FC236}">
              <a16:creationId xmlns:a16="http://schemas.microsoft.com/office/drawing/2014/main" id="{1E649DA9-4A69-4EA5-921B-C2A5910BE0ED}"/>
            </a:ext>
          </a:extLst>
        </xdr:cNvPr>
        <xdr:cNvCxnSpPr/>
      </xdr:nvCxnSpPr>
      <xdr:spPr>
        <a:xfrm>
          <a:off x="16318594" y="2675165"/>
          <a:ext cx="464456" cy="18233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1921</xdr:colOff>
      <xdr:row>8</xdr:row>
      <xdr:rowOff>126257</xdr:rowOff>
    </xdr:from>
    <xdr:to>
      <xdr:col>12</xdr:col>
      <xdr:colOff>505921</xdr:colOff>
      <xdr:row>8</xdr:row>
      <xdr:rowOff>126257</xdr:rowOff>
    </xdr:to>
    <xdr:cxnSp macro="">
      <xdr:nvCxnSpPr>
        <xdr:cNvPr id="23" name="Straight Arrow Connector 3">
          <a:extLst>
            <a:ext uri="{FF2B5EF4-FFF2-40B4-BE49-F238E27FC236}">
              <a16:creationId xmlns:a16="http://schemas.microsoft.com/office/drawing/2014/main" id="{7802B0F0-C592-46A5-BAEA-F07BBDF415FC}"/>
            </a:ext>
          </a:extLst>
        </xdr:cNvPr>
        <xdr:cNvCxnSpPr/>
      </xdr:nvCxnSpPr>
      <xdr:spPr>
        <a:xfrm>
          <a:off x="14067545" y="2914281"/>
          <a:ext cx="5040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545828</xdr:colOff>
      <xdr:row>5</xdr:row>
      <xdr:rowOff>60054</xdr:rowOff>
    </xdr:from>
    <xdr:to>
      <xdr:col>12</xdr:col>
      <xdr:colOff>136797</xdr:colOff>
      <xdr:row>6</xdr:row>
      <xdr:rowOff>60370</xdr:rowOff>
    </xdr:to>
    <xdr:cxnSp macro="">
      <xdr:nvCxnSpPr>
        <xdr:cNvPr id="5" name="Straight Arrow Connector 20">
          <a:extLst>
            <a:ext uri="{FF2B5EF4-FFF2-40B4-BE49-F238E27FC236}">
              <a16:creationId xmlns:a16="http://schemas.microsoft.com/office/drawing/2014/main" id="{D88D6C64-86EC-4E43-8490-E50DE060035E}"/>
            </a:ext>
          </a:extLst>
        </xdr:cNvPr>
        <xdr:cNvCxnSpPr>
          <a:cxnSpLocks/>
          <a:stCxn id="9" idx="1"/>
        </xdr:cNvCxnSpPr>
      </xdr:nvCxnSpPr>
      <xdr:spPr>
        <a:xfrm flipH="1" flipV="1">
          <a:off x="13614128" y="2307954"/>
          <a:ext cx="572044" cy="1908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956310</xdr:colOff>
      <xdr:row>7</xdr:row>
      <xdr:rowOff>114300</xdr:rowOff>
    </xdr:from>
    <xdr:to>
      <xdr:col>11</xdr:col>
      <xdr:colOff>38101</xdr:colOff>
      <xdr:row>7</xdr:row>
      <xdr:rowOff>114300</xdr:rowOff>
    </xdr:to>
    <xdr:cxnSp macro="">
      <xdr:nvCxnSpPr>
        <xdr:cNvPr id="8" name="Straight Arrow Connector 5">
          <a:extLst>
            <a:ext uri="{FF2B5EF4-FFF2-40B4-BE49-F238E27FC236}">
              <a16:creationId xmlns:a16="http://schemas.microsoft.com/office/drawing/2014/main" id="{AEA42BE5-9E78-4823-A75F-B3044F147E70}"/>
            </a:ext>
          </a:extLst>
        </xdr:cNvPr>
        <xdr:cNvCxnSpPr/>
      </xdr:nvCxnSpPr>
      <xdr:spPr>
        <a:xfrm flipV="1">
          <a:off x="12126334" y="2723029"/>
          <a:ext cx="991273"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xdr:colOff>
      <xdr:row>8</xdr:row>
      <xdr:rowOff>114300</xdr:rowOff>
    </xdr:from>
    <xdr:to>
      <xdr:col>15</xdr:col>
      <xdr:colOff>902607</xdr:colOff>
      <xdr:row>9</xdr:row>
      <xdr:rowOff>138622</xdr:rowOff>
    </xdr:to>
    <xdr:cxnSp macro="">
      <xdr:nvCxnSpPr>
        <xdr:cNvPr id="7" name="Straight Arrow Connector 5">
          <a:extLst>
            <a:ext uri="{FF2B5EF4-FFF2-40B4-BE49-F238E27FC236}">
              <a16:creationId xmlns:a16="http://schemas.microsoft.com/office/drawing/2014/main" id="{C28477EC-92B3-4BD9-B017-9C590909C9D6}"/>
            </a:ext>
          </a:extLst>
        </xdr:cNvPr>
        <xdr:cNvCxnSpPr>
          <a:stCxn id="14" idx="1"/>
        </xdr:cNvCxnSpPr>
      </xdr:nvCxnSpPr>
      <xdr:spPr>
        <a:xfrm flipH="1" flipV="1">
          <a:off x="18383250" y="2647950"/>
          <a:ext cx="883557" cy="2148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266699</xdr:colOff>
      <xdr:row>13</xdr:row>
      <xdr:rowOff>168004</xdr:rowOff>
    </xdr:from>
    <xdr:to>
      <xdr:col>14</xdr:col>
      <xdr:colOff>816428</xdr:colOff>
      <xdr:row>17</xdr:row>
      <xdr:rowOff>68036</xdr:rowOff>
    </xdr:to>
    <xdr:sp macro="" textlink="">
      <xdr:nvSpPr>
        <xdr:cNvPr id="4" name="TextBox 7">
          <a:extLst>
            <a:ext uri="{FF2B5EF4-FFF2-40B4-BE49-F238E27FC236}">
              <a16:creationId xmlns:a16="http://schemas.microsoft.com/office/drawing/2014/main" id="{230B8F64-95DD-490D-B77C-A11B83FA5A9A}"/>
            </a:ext>
          </a:extLst>
        </xdr:cNvPr>
        <xdr:cNvSpPr txBox="1"/>
      </xdr:nvSpPr>
      <xdr:spPr>
        <a:xfrm>
          <a:off x="16867413" y="3773897"/>
          <a:ext cx="2318658" cy="6076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main feedstock input and hydrogen output.</a:t>
          </a:r>
          <a:endParaRPr lang="en-GB" sz="1100"/>
        </a:p>
      </xdr:txBody>
    </xdr:sp>
    <xdr:clientData/>
  </xdr:twoCellAnchor>
  <xdr:twoCellAnchor>
    <xdr:from>
      <xdr:col>12</xdr:col>
      <xdr:colOff>136797</xdr:colOff>
      <xdr:row>5</xdr:row>
      <xdr:rowOff>117021</xdr:rowOff>
    </xdr:from>
    <xdr:to>
      <xdr:col>16</xdr:col>
      <xdr:colOff>561975</xdr:colOff>
      <xdr:row>7</xdr:row>
      <xdr:rowOff>13244</xdr:rowOff>
    </xdr:to>
    <xdr:sp macro="" textlink="">
      <xdr:nvSpPr>
        <xdr:cNvPr id="9" name="TextBox 8">
          <a:extLst>
            <a:ext uri="{FF2B5EF4-FFF2-40B4-BE49-F238E27FC236}">
              <a16:creationId xmlns:a16="http://schemas.microsoft.com/office/drawing/2014/main" id="{244D0F2D-4B12-4795-ACCF-777A0312D942}"/>
            </a:ext>
          </a:extLst>
        </xdr:cNvPr>
        <xdr:cNvSpPr txBox="1"/>
      </xdr:nvSpPr>
      <xdr:spPr>
        <a:xfrm>
          <a:off x="14186172" y="2364921"/>
          <a:ext cx="4863828" cy="26769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16</xdr:col>
      <xdr:colOff>913946</xdr:colOff>
      <xdr:row>16</xdr:row>
      <xdr:rowOff>144800</xdr:rowOff>
    </xdr:from>
    <xdr:to>
      <xdr:col>16</xdr:col>
      <xdr:colOff>1106033</xdr:colOff>
      <xdr:row>18</xdr:row>
      <xdr:rowOff>87539</xdr:rowOff>
    </xdr:to>
    <xdr:cxnSp macro="">
      <xdr:nvCxnSpPr>
        <xdr:cNvPr id="21" name="Straight Arrow Connector 5">
          <a:extLst>
            <a:ext uri="{FF2B5EF4-FFF2-40B4-BE49-F238E27FC236}">
              <a16:creationId xmlns:a16="http://schemas.microsoft.com/office/drawing/2014/main" id="{3D8DBD46-ACAE-4898-A423-789A01B407C1}"/>
            </a:ext>
          </a:extLst>
        </xdr:cNvPr>
        <xdr:cNvCxnSpPr>
          <a:cxnSpLocks/>
        </xdr:cNvCxnSpPr>
      </xdr:nvCxnSpPr>
      <xdr:spPr>
        <a:xfrm flipH="1">
          <a:off x="20744996" y="4202450"/>
          <a:ext cx="192087" cy="32373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914400</xdr:colOff>
      <xdr:row>16</xdr:row>
      <xdr:rowOff>144800</xdr:rowOff>
    </xdr:from>
    <xdr:to>
      <xdr:col>16</xdr:col>
      <xdr:colOff>1109208</xdr:colOff>
      <xdr:row>18</xdr:row>
      <xdr:rowOff>76200</xdr:rowOff>
    </xdr:to>
    <xdr:cxnSp macro="">
      <xdr:nvCxnSpPr>
        <xdr:cNvPr id="20" name="Straight Arrow Connector 5">
          <a:extLst>
            <a:ext uri="{FF2B5EF4-FFF2-40B4-BE49-F238E27FC236}">
              <a16:creationId xmlns:a16="http://schemas.microsoft.com/office/drawing/2014/main" id="{DD26B39B-099E-4921-9912-D5ACFD3DA6DF}"/>
            </a:ext>
          </a:extLst>
        </xdr:cNvPr>
        <xdr:cNvCxnSpPr>
          <a:cxnSpLocks/>
        </xdr:cNvCxnSpPr>
      </xdr:nvCxnSpPr>
      <xdr:spPr>
        <a:xfrm flipH="1">
          <a:off x="19278600" y="4202450"/>
          <a:ext cx="1661658" cy="3124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256051</xdr:colOff>
      <xdr:row>16</xdr:row>
      <xdr:rowOff>133914</xdr:rowOff>
    </xdr:from>
    <xdr:to>
      <xdr:col>18</xdr:col>
      <xdr:colOff>498021</xdr:colOff>
      <xdr:row>17</xdr:row>
      <xdr:rowOff>139700</xdr:rowOff>
    </xdr:to>
    <xdr:cxnSp macro="">
      <xdr:nvCxnSpPr>
        <xdr:cNvPr id="26" name="Straight Arrow Connector 5">
          <a:extLst>
            <a:ext uri="{FF2B5EF4-FFF2-40B4-BE49-F238E27FC236}">
              <a16:creationId xmlns:a16="http://schemas.microsoft.com/office/drawing/2014/main" id="{40CDBF46-0641-48BB-AAE7-FD8653CBB6E4}"/>
            </a:ext>
          </a:extLst>
        </xdr:cNvPr>
        <xdr:cNvCxnSpPr>
          <a:cxnSpLocks/>
          <a:stCxn id="25" idx="2"/>
        </xdr:cNvCxnSpPr>
      </xdr:nvCxnSpPr>
      <xdr:spPr>
        <a:xfrm>
          <a:off x="22435694" y="4284093"/>
          <a:ext cx="1371363" cy="1826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905782</xdr:colOff>
      <xdr:row>8</xdr:row>
      <xdr:rowOff>2722</xdr:rowOff>
    </xdr:from>
    <xdr:to>
      <xdr:col>17</xdr:col>
      <xdr:colOff>578303</xdr:colOff>
      <xdr:row>11</xdr:row>
      <xdr:rowOff>87196</xdr:rowOff>
    </xdr:to>
    <xdr:sp macro="" textlink="">
      <xdr:nvSpPr>
        <xdr:cNvPr id="14" name="TextBox 13">
          <a:extLst>
            <a:ext uri="{FF2B5EF4-FFF2-40B4-BE49-F238E27FC236}">
              <a16:creationId xmlns:a16="http://schemas.microsoft.com/office/drawing/2014/main" id="{077697DC-FA96-4C2C-8DB9-D7FF579A1B81}"/>
            </a:ext>
          </a:extLst>
        </xdr:cNvPr>
        <xdr:cNvSpPr txBox="1"/>
      </xdr:nvSpPr>
      <xdr:spPr>
        <a:xfrm>
          <a:off x="19269982" y="2536372"/>
          <a:ext cx="2606221" cy="6559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15</xdr:col>
      <xdr:colOff>1102180</xdr:colOff>
      <xdr:row>13</xdr:row>
      <xdr:rowOff>27215</xdr:rowOff>
    </xdr:from>
    <xdr:to>
      <xdr:col>18</xdr:col>
      <xdr:colOff>1195632</xdr:colOff>
      <xdr:row>16</xdr:row>
      <xdr:rowOff>133914</xdr:rowOff>
    </xdr:to>
    <xdr:sp macro="" textlink="">
      <xdr:nvSpPr>
        <xdr:cNvPr id="25" name="TextBox 27">
          <a:extLst>
            <a:ext uri="{FF2B5EF4-FFF2-40B4-BE49-F238E27FC236}">
              <a16:creationId xmlns:a16="http://schemas.microsoft.com/office/drawing/2014/main" id="{A083720C-4CD4-473F-9D2A-75E216BDC16D}"/>
            </a:ext>
          </a:extLst>
        </xdr:cNvPr>
        <xdr:cNvSpPr txBox="1"/>
      </xdr:nvSpPr>
      <xdr:spPr>
        <a:xfrm>
          <a:off x="20369894" y="3646715"/>
          <a:ext cx="413477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736599</xdr:colOff>
      <xdr:row>75</xdr:row>
      <xdr:rowOff>139700</xdr:rowOff>
    </xdr:from>
    <xdr:to>
      <xdr:col>6</xdr:col>
      <xdr:colOff>1582055</xdr:colOff>
      <xdr:row>78</xdr:row>
      <xdr:rowOff>67583</xdr:rowOff>
    </xdr:to>
    <xdr:sp macro="" textlink="">
      <xdr:nvSpPr>
        <xdr:cNvPr id="3" name="TextBox 7">
          <a:extLst>
            <a:ext uri="{FF2B5EF4-FFF2-40B4-BE49-F238E27FC236}">
              <a16:creationId xmlns:a16="http://schemas.microsoft.com/office/drawing/2014/main" id="{DE24BE6D-F332-46F4-A0E1-BA8D271125FC}"/>
            </a:ext>
          </a:extLst>
        </xdr:cNvPr>
        <xdr:cNvSpPr txBox="1"/>
      </xdr:nvSpPr>
      <xdr:spPr>
        <a:xfrm>
          <a:off x="7089774" y="15941675"/>
          <a:ext cx="2998106" cy="47080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 rate is linked to the response given in the Initial questions worksheet.</a:t>
          </a:r>
          <a:endParaRPr lang="en-GB">
            <a:effectLst/>
          </a:endParaRPr>
        </a:p>
      </xdr:txBody>
    </xdr:sp>
    <xdr:clientData/>
  </xdr:twoCellAnchor>
  <xdr:twoCellAnchor>
    <xdr:from>
      <xdr:col>5</xdr:col>
      <xdr:colOff>15241</xdr:colOff>
      <xdr:row>75</xdr:row>
      <xdr:rowOff>91440</xdr:rowOff>
    </xdr:from>
    <xdr:to>
      <xdr:col>5</xdr:col>
      <xdr:colOff>740409</xdr:colOff>
      <xdr:row>77</xdr:row>
      <xdr:rowOff>5534</xdr:rowOff>
    </xdr:to>
    <xdr:cxnSp macro="">
      <xdr:nvCxnSpPr>
        <xdr:cNvPr id="17" name="Straight Arrow Connector 5">
          <a:extLst>
            <a:ext uri="{FF2B5EF4-FFF2-40B4-BE49-F238E27FC236}">
              <a16:creationId xmlns:a16="http://schemas.microsoft.com/office/drawing/2014/main" id="{34FEACAC-2BD9-497B-9B07-AC04752E44E1}"/>
            </a:ext>
          </a:extLst>
        </xdr:cNvPr>
        <xdr:cNvCxnSpPr>
          <a:stCxn id="3" idx="1"/>
        </xdr:cNvCxnSpPr>
      </xdr:nvCxnSpPr>
      <xdr:spPr>
        <a:xfrm flipH="1" flipV="1">
          <a:off x="6282691" y="16493490"/>
          <a:ext cx="725168" cy="29509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27866ABC-5191-4768-AC30-3784BEA113A4}"/>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25586</xdr:colOff>
      <xdr:row>11</xdr:row>
      <xdr:rowOff>121959</xdr:rowOff>
    </xdr:from>
    <xdr:to>
      <xdr:col>29</xdr:col>
      <xdr:colOff>276266</xdr:colOff>
      <xdr:row>31</xdr:row>
      <xdr:rowOff>44823</xdr:rowOff>
    </xdr:to>
    <xdr:pic>
      <xdr:nvPicPr>
        <xdr:cNvPr id="168" name="Picture 167">
          <a:extLst>
            <a:ext uri="{FF2B5EF4-FFF2-40B4-BE49-F238E27FC236}">
              <a16:creationId xmlns:a16="http://schemas.microsoft.com/office/drawing/2014/main" id="{24E952BE-340F-4878-878C-CD87AF98CFFF}"/>
            </a:ext>
          </a:extLst>
        </xdr:cNvPr>
        <xdr:cNvPicPr>
          <a:picLocks noChangeAspect="1"/>
        </xdr:cNvPicPr>
      </xdr:nvPicPr>
      <xdr:blipFill>
        <a:blip xmlns:r="http://schemas.openxmlformats.org/officeDocument/2006/relationships" r:embed="rId1"/>
        <a:stretch>
          <a:fillRect/>
        </a:stretch>
      </xdr:blipFill>
      <xdr:spPr>
        <a:xfrm>
          <a:off x="630704" y="2150224"/>
          <a:ext cx="17272415" cy="3508746"/>
        </a:xfrm>
        <a:prstGeom prst="rect">
          <a:avLst/>
        </a:prstGeom>
      </xdr:spPr>
    </xdr:pic>
    <xdr:clientData/>
  </xdr:twoCellAnchor>
  <xdr:twoCellAnchor>
    <xdr:from>
      <xdr:col>1</xdr:col>
      <xdr:colOff>146047</xdr:colOff>
      <xdr:row>118</xdr:row>
      <xdr:rowOff>30442</xdr:rowOff>
    </xdr:from>
    <xdr:to>
      <xdr:col>9</xdr:col>
      <xdr:colOff>60139</xdr:colOff>
      <xdr:row>120</xdr:row>
      <xdr:rowOff>168088</xdr:rowOff>
    </xdr:to>
    <xdr:grpSp>
      <xdr:nvGrpSpPr>
        <xdr:cNvPr id="85" name="Group 84">
          <a:extLst>
            <a:ext uri="{FF2B5EF4-FFF2-40B4-BE49-F238E27FC236}">
              <a16:creationId xmlns:a16="http://schemas.microsoft.com/office/drawing/2014/main" id="{80D749D7-28BC-403D-9B65-3C6189A0818C}"/>
            </a:ext>
          </a:extLst>
        </xdr:cNvPr>
        <xdr:cNvGrpSpPr/>
      </xdr:nvGrpSpPr>
      <xdr:grpSpPr>
        <a:xfrm>
          <a:off x="753742" y="21831262"/>
          <a:ext cx="4855662" cy="505311"/>
          <a:chOff x="6911135" y="819048"/>
          <a:chExt cx="4802736" cy="488537"/>
        </a:xfrm>
      </xdr:grpSpPr>
      <xdr:sp macro="" textlink="">
        <xdr:nvSpPr>
          <xdr:cNvPr id="86" name="Rectangle 85">
            <a:extLst>
              <a:ext uri="{FF2B5EF4-FFF2-40B4-BE49-F238E27FC236}">
                <a16:creationId xmlns:a16="http://schemas.microsoft.com/office/drawing/2014/main" id="{738766CB-BDA8-4EB3-8431-5664C5A59499}"/>
              </a:ext>
            </a:extLst>
          </xdr:cNvPr>
          <xdr:cNvSpPr/>
        </xdr:nvSpPr>
        <xdr:spPr>
          <a:xfrm>
            <a:off x="10259095" y="828243"/>
            <a:ext cx="1454776" cy="45431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backward efficiency</a:t>
            </a:r>
          </a:p>
        </xdr:txBody>
      </xdr:sp>
      <xdr:sp macro="" textlink="">
        <xdr:nvSpPr>
          <xdr:cNvPr id="87" name="Rectangle 86">
            <a:extLst>
              <a:ext uri="{FF2B5EF4-FFF2-40B4-BE49-F238E27FC236}">
                <a16:creationId xmlns:a16="http://schemas.microsoft.com/office/drawing/2014/main" id="{A4D2DD89-40E5-4A6F-8C1A-A7F12E48B3F0}"/>
              </a:ext>
            </a:extLst>
          </xdr:cNvPr>
          <xdr:cNvSpPr/>
        </xdr:nvSpPr>
        <xdr:spPr>
          <a:xfrm>
            <a:off x="6911135" y="819048"/>
            <a:ext cx="1422192" cy="48853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e/MJ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(without allocation)</a:t>
            </a:r>
            <a:endParaRPr lang="en-GB" sz="1200">
              <a:solidFill>
                <a:sysClr val="windowText" lastClr="000000"/>
              </a:solidFill>
              <a:effectLst/>
            </a:endParaRPr>
          </a:p>
        </xdr:txBody>
      </xdr:sp>
      <xdr:sp macro="" textlink="">
        <xdr:nvSpPr>
          <xdr:cNvPr id="88" name="Rectangle 87">
            <a:extLst>
              <a:ext uri="{FF2B5EF4-FFF2-40B4-BE49-F238E27FC236}">
                <a16:creationId xmlns:a16="http://schemas.microsoft.com/office/drawing/2014/main" id="{38EB6940-FE8C-4DA9-87BB-29B198E26A11}"/>
              </a:ext>
            </a:extLst>
          </xdr:cNvPr>
          <xdr:cNvSpPr/>
        </xdr:nvSpPr>
        <xdr:spPr>
          <a:xfrm>
            <a:off x="8595377" y="822322"/>
            <a:ext cx="1389532" cy="46355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a:t>
            </a:r>
            <a:r>
              <a:rPr lang="en-GB" sz="1200" kern="1200">
                <a:solidFill>
                  <a:sysClr val="windowText" lastClr="000000"/>
                </a:solidFill>
                <a:latin typeface="+mn-lt"/>
                <a:ea typeface="+mn-ea"/>
                <a:cs typeface="+mn-cs"/>
              </a:rPr>
              <a:t>MJ</a:t>
            </a:r>
            <a:r>
              <a:rPr lang="en-GB" sz="1200" kern="1200">
                <a:solidFill>
                  <a:sysClr val="windowText" lastClr="000000"/>
                </a:solidFill>
                <a:effectLst/>
                <a:latin typeface="+mn-lt"/>
                <a:ea typeface="+mn-ea"/>
                <a:cs typeface="+mn-cs"/>
              </a:rPr>
              <a:t> module main output</a:t>
            </a:r>
            <a:endParaRPr lang="en-GB" sz="1200">
              <a:solidFill>
                <a:sysClr val="windowText" lastClr="000000"/>
              </a:solidFill>
              <a:effectLst/>
            </a:endParaRPr>
          </a:p>
        </xdr:txBody>
      </xdr:sp>
      <xdr:sp macro="" textlink="">
        <xdr:nvSpPr>
          <xdr:cNvPr id="89" name="Rectangle 88">
            <a:extLst>
              <a:ext uri="{FF2B5EF4-FFF2-40B4-BE49-F238E27FC236}">
                <a16:creationId xmlns:a16="http://schemas.microsoft.com/office/drawing/2014/main" id="{C368C511-2A64-4AA5-AC05-05B30B9F3B84}"/>
              </a:ext>
            </a:extLst>
          </xdr:cNvPr>
          <xdr:cNvSpPr/>
        </xdr:nvSpPr>
        <xdr:spPr>
          <a:xfrm>
            <a:off x="9945261" y="898610"/>
            <a:ext cx="328917" cy="2063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90" name="Rectangle 89">
            <a:extLst>
              <a:ext uri="{FF2B5EF4-FFF2-40B4-BE49-F238E27FC236}">
                <a16:creationId xmlns:a16="http://schemas.microsoft.com/office/drawing/2014/main" id="{6A4F1022-31A3-4976-8A10-B1F77AEAA7E9}"/>
              </a:ext>
            </a:extLst>
          </xdr:cNvPr>
          <xdr:cNvSpPr/>
        </xdr:nvSpPr>
        <xdr:spPr>
          <a:xfrm>
            <a:off x="8360520" y="949325"/>
            <a:ext cx="2476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clientData/>
  </xdr:twoCellAnchor>
  <xdr:twoCellAnchor>
    <xdr:from>
      <xdr:col>3</xdr:col>
      <xdr:colOff>76199</xdr:colOff>
      <xdr:row>123</xdr:row>
      <xdr:rowOff>104775</xdr:rowOff>
    </xdr:from>
    <xdr:to>
      <xdr:col>7</xdr:col>
      <xdr:colOff>161924</xdr:colOff>
      <xdr:row>127</xdr:row>
      <xdr:rowOff>15875</xdr:rowOff>
    </xdr:to>
    <xdr:sp macro="" textlink="">
      <xdr:nvSpPr>
        <xdr:cNvPr id="93" name="TextBox 92">
          <a:extLst>
            <a:ext uri="{FF2B5EF4-FFF2-40B4-BE49-F238E27FC236}">
              <a16:creationId xmlns:a16="http://schemas.microsoft.com/office/drawing/2014/main" id="{CBB3328D-4BA4-4076-A9F8-27F68F203880}"/>
            </a:ext>
          </a:extLst>
        </xdr:cNvPr>
        <xdr:cNvSpPr txBox="1"/>
      </xdr:nvSpPr>
      <xdr:spPr>
        <a:xfrm>
          <a:off x="1904999" y="22821900"/>
          <a:ext cx="2524125" cy="6350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Values</a:t>
          </a:r>
          <a:r>
            <a:rPr lang="en-GB" sz="1100" baseline="0"/>
            <a:t> are linked to the GHG emissions result calculated in the individual supply chain module worksheets</a:t>
          </a:r>
          <a:endParaRPr lang="en-GB" sz="1100"/>
        </a:p>
      </xdr:txBody>
    </xdr:sp>
    <xdr:clientData/>
  </xdr:twoCellAnchor>
  <xdr:twoCellAnchor>
    <xdr:from>
      <xdr:col>5</xdr:col>
      <xdr:colOff>85706</xdr:colOff>
      <xdr:row>120</xdr:row>
      <xdr:rowOff>146035</xdr:rowOff>
    </xdr:from>
    <xdr:to>
      <xdr:col>5</xdr:col>
      <xdr:colOff>120650</xdr:colOff>
      <xdr:row>123</xdr:row>
      <xdr:rowOff>101600</xdr:rowOff>
    </xdr:to>
    <xdr:cxnSp macro="">
      <xdr:nvCxnSpPr>
        <xdr:cNvPr id="94" name="Straight Arrow Connector 93">
          <a:extLst>
            <a:ext uri="{FF2B5EF4-FFF2-40B4-BE49-F238E27FC236}">
              <a16:creationId xmlns:a16="http://schemas.microsoft.com/office/drawing/2014/main" id="{CB8A143A-BBE6-4245-91A5-5CEB64CCC1CF}"/>
            </a:ext>
          </a:extLst>
        </xdr:cNvPr>
        <xdr:cNvCxnSpPr>
          <a:cxnSpLocks/>
          <a:stCxn id="93" idx="0"/>
          <a:endCxn id="88" idx="2"/>
        </xdr:cNvCxnSpPr>
      </xdr:nvCxnSpPr>
      <xdr:spPr>
        <a:xfrm flipH="1" flipV="1">
          <a:off x="3111294" y="22143182"/>
          <a:ext cx="34944" cy="4934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581020</xdr:colOff>
      <xdr:row>148</xdr:row>
      <xdr:rowOff>160058</xdr:rowOff>
    </xdr:from>
    <xdr:to>
      <xdr:col>8</xdr:col>
      <xdr:colOff>582701</xdr:colOff>
      <xdr:row>151</xdr:row>
      <xdr:rowOff>91670</xdr:rowOff>
    </xdr:to>
    <xdr:grpSp>
      <xdr:nvGrpSpPr>
        <xdr:cNvPr id="99" name="Group 98">
          <a:extLst>
            <a:ext uri="{FF2B5EF4-FFF2-40B4-BE49-F238E27FC236}">
              <a16:creationId xmlns:a16="http://schemas.microsoft.com/office/drawing/2014/main" id="{2BE2ADC2-5D68-4BB1-AB52-1903869FBAB4}"/>
            </a:ext>
          </a:extLst>
        </xdr:cNvPr>
        <xdr:cNvGrpSpPr/>
      </xdr:nvGrpSpPr>
      <xdr:grpSpPr>
        <a:xfrm>
          <a:off x="582925" y="27432038"/>
          <a:ext cx="4945156" cy="476442"/>
          <a:chOff x="7041102" y="817224"/>
          <a:chExt cx="4890406" cy="476511"/>
        </a:xfrm>
      </xdr:grpSpPr>
      <xdr:sp macro="" textlink="">
        <xdr:nvSpPr>
          <xdr:cNvPr id="100" name="Rectangle 99">
            <a:extLst>
              <a:ext uri="{FF2B5EF4-FFF2-40B4-BE49-F238E27FC236}">
                <a16:creationId xmlns:a16="http://schemas.microsoft.com/office/drawing/2014/main" id="{84036F82-D86A-4CB8-A588-F2DCE4C13C07}"/>
              </a:ext>
            </a:extLst>
          </xdr:cNvPr>
          <xdr:cNvSpPr/>
        </xdr:nvSpPr>
        <xdr:spPr>
          <a:xfrm>
            <a:off x="10571911" y="839425"/>
            <a:ext cx="1359597" cy="45431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101" name="Rectangle 100">
            <a:extLst>
              <a:ext uri="{FF2B5EF4-FFF2-40B4-BE49-F238E27FC236}">
                <a16:creationId xmlns:a16="http://schemas.microsoft.com/office/drawing/2014/main" id="{F1D6A5A1-B361-4EC3-8801-F28E4351A74C}"/>
              </a:ext>
            </a:extLst>
          </xdr:cNvPr>
          <xdr:cNvSpPr/>
        </xdr:nvSpPr>
        <xdr:spPr>
          <a:xfrm>
            <a:off x="7041102" y="817224"/>
            <a:ext cx="1354331" cy="463084"/>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a:t>
            </a:r>
            <a:r>
              <a:rPr lang="en-GB" sz="1200" kern="1200">
                <a:solidFill>
                  <a:sysClr val="windowText" lastClr="000000"/>
                </a:solidFill>
                <a:latin typeface="+mn-lt"/>
                <a:ea typeface="+mn-ea"/>
                <a:cs typeface="+mn-cs"/>
              </a:rPr>
              <a:t>MJ</a:t>
            </a:r>
            <a:r>
              <a:rPr lang="en-GB" sz="1200" kern="1200">
                <a:solidFill>
                  <a:sysClr val="windowText" lastClr="000000"/>
                </a:solidFill>
                <a:effectLst/>
                <a:latin typeface="+mn-lt"/>
                <a:ea typeface="+mn-ea"/>
                <a:cs typeface="+mn-cs"/>
              </a:rPr>
              <a:t>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 allocation)</a:t>
            </a:r>
            <a:endParaRPr lang="en-GB" sz="1200" baseline="0">
              <a:solidFill>
                <a:sysClr val="windowText" lastClr="000000"/>
              </a:solidFill>
              <a:effectLst/>
            </a:endParaRPr>
          </a:p>
        </xdr:txBody>
      </xdr:sp>
      <xdr:sp macro="" textlink="">
        <xdr:nvSpPr>
          <xdr:cNvPr id="102" name="Rectangle 101">
            <a:extLst>
              <a:ext uri="{FF2B5EF4-FFF2-40B4-BE49-F238E27FC236}">
                <a16:creationId xmlns:a16="http://schemas.microsoft.com/office/drawing/2014/main" id="{9F5737AD-A21C-4BE7-B7F3-5C13130F1AA3}"/>
              </a:ext>
            </a:extLst>
          </xdr:cNvPr>
          <xdr:cNvSpPr/>
        </xdr:nvSpPr>
        <xdr:spPr>
          <a:xfrm>
            <a:off x="8777178" y="822322"/>
            <a:ext cx="1492926" cy="46355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e/MJ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(without allocation)</a:t>
            </a:r>
            <a:endParaRPr lang="en-GB" sz="1200">
              <a:solidFill>
                <a:sysClr val="windowText" lastClr="000000"/>
              </a:solidFill>
              <a:effectLst/>
            </a:endParaRPr>
          </a:p>
        </xdr:txBody>
      </xdr:sp>
      <xdr:sp macro="" textlink="">
        <xdr:nvSpPr>
          <xdr:cNvPr id="103" name="Rectangle 102">
            <a:extLst>
              <a:ext uri="{FF2B5EF4-FFF2-40B4-BE49-F238E27FC236}">
                <a16:creationId xmlns:a16="http://schemas.microsoft.com/office/drawing/2014/main" id="{0A9126BC-195A-4A57-8DA1-9C76628B40B0}"/>
              </a:ext>
            </a:extLst>
          </xdr:cNvPr>
          <xdr:cNvSpPr/>
        </xdr:nvSpPr>
        <xdr:spPr>
          <a:xfrm>
            <a:off x="10252672" y="898610"/>
            <a:ext cx="328917" cy="2063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104" name="Rectangle 103">
            <a:extLst>
              <a:ext uri="{FF2B5EF4-FFF2-40B4-BE49-F238E27FC236}">
                <a16:creationId xmlns:a16="http://schemas.microsoft.com/office/drawing/2014/main" id="{ED39139F-8E02-42C7-863A-63621D81F120}"/>
              </a:ext>
            </a:extLst>
          </xdr:cNvPr>
          <xdr:cNvSpPr/>
        </xdr:nvSpPr>
        <xdr:spPr>
          <a:xfrm>
            <a:off x="8485466" y="949325"/>
            <a:ext cx="2476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clientData/>
  </xdr:twoCellAnchor>
  <xdr:twoCellAnchor>
    <xdr:from>
      <xdr:col>4</xdr:col>
      <xdr:colOff>162482</xdr:colOff>
      <xdr:row>89</xdr:row>
      <xdr:rowOff>1</xdr:rowOff>
    </xdr:from>
    <xdr:to>
      <xdr:col>6</xdr:col>
      <xdr:colOff>238682</xdr:colOff>
      <xdr:row>89</xdr:row>
      <xdr:rowOff>1</xdr:rowOff>
    </xdr:to>
    <xdr:cxnSp macro="">
      <xdr:nvCxnSpPr>
        <xdr:cNvPr id="106" name="Straight Arrow Connector 105">
          <a:extLst>
            <a:ext uri="{FF2B5EF4-FFF2-40B4-BE49-F238E27FC236}">
              <a16:creationId xmlns:a16="http://schemas.microsoft.com/office/drawing/2014/main" id="{7585C64B-4DE3-492A-9B6D-3894873D9E38}"/>
            </a:ext>
          </a:extLst>
        </xdr:cNvPr>
        <xdr:cNvCxnSpPr>
          <a:cxnSpLocks/>
        </xdr:cNvCxnSpPr>
      </xdr:nvCxnSpPr>
      <xdr:spPr>
        <a:xfrm>
          <a:off x="2582953" y="16383001"/>
          <a:ext cx="1286435"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353217</xdr:colOff>
      <xdr:row>88</xdr:row>
      <xdr:rowOff>6352</xdr:rowOff>
    </xdr:from>
    <xdr:to>
      <xdr:col>10</xdr:col>
      <xdr:colOff>64292</xdr:colOff>
      <xdr:row>89</xdr:row>
      <xdr:rowOff>111126</xdr:rowOff>
    </xdr:to>
    <xdr:sp macro="" textlink="">
      <xdr:nvSpPr>
        <xdr:cNvPr id="6435" name="TextBox 111">
          <a:extLst>
            <a:ext uri="{FF2B5EF4-FFF2-40B4-BE49-F238E27FC236}">
              <a16:creationId xmlns:a16="http://schemas.microsoft.com/office/drawing/2014/main" id="{198E1C61-F874-49C3-BABB-8FEB20AA1141}"/>
            </a:ext>
          </a:extLst>
        </xdr:cNvPr>
        <xdr:cNvSpPr txBox="1"/>
      </xdr:nvSpPr>
      <xdr:spPr>
        <a:xfrm>
          <a:off x="5839617" y="15798802"/>
          <a:ext cx="320675" cy="285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or</a:t>
          </a:r>
        </a:p>
      </xdr:txBody>
    </xdr:sp>
    <xdr:clientData/>
  </xdr:twoCellAnchor>
  <xdr:twoCellAnchor>
    <xdr:from>
      <xdr:col>13</xdr:col>
      <xdr:colOff>134142</xdr:colOff>
      <xdr:row>89</xdr:row>
      <xdr:rowOff>1</xdr:rowOff>
    </xdr:from>
    <xdr:to>
      <xdr:col>15</xdr:col>
      <xdr:colOff>65085</xdr:colOff>
      <xdr:row>89</xdr:row>
      <xdr:rowOff>2</xdr:rowOff>
    </xdr:to>
    <xdr:cxnSp macro="">
      <xdr:nvCxnSpPr>
        <xdr:cNvPr id="6450" name="Straight Arrow Connector 112">
          <a:extLst>
            <a:ext uri="{FF2B5EF4-FFF2-40B4-BE49-F238E27FC236}">
              <a16:creationId xmlns:a16="http://schemas.microsoft.com/office/drawing/2014/main" id="{9A828ADB-E9C6-4244-8609-A21B627661EF}"/>
            </a:ext>
          </a:extLst>
        </xdr:cNvPr>
        <xdr:cNvCxnSpPr>
          <a:cxnSpLocks/>
        </xdr:cNvCxnSpPr>
      </xdr:nvCxnSpPr>
      <xdr:spPr>
        <a:xfrm flipV="1">
          <a:off x="8058942" y="15973426"/>
          <a:ext cx="1150143"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104774</xdr:colOff>
      <xdr:row>35</xdr:row>
      <xdr:rowOff>88898</xdr:rowOff>
    </xdr:from>
    <xdr:to>
      <xdr:col>30</xdr:col>
      <xdr:colOff>171169</xdr:colOff>
      <xdr:row>57</xdr:row>
      <xdr:rowOff>121511</xdr:rowOff>
    </xdr:to>
    <xdr:grpSp>
      <xdr:nvGrpSpPr>
        <xdr:cNvPr id="118" name="Group 50">
          <a:extLst>
            <a:ext uri="{FF2B5EF4-FFF2-40B4-BE49-F238E27FC236}">
              <a16:creationId xmlns:a16="http://schemas.microsoft.com/office/drawing/2014/main" id="{FCC05BFA-7789-4FB7-BC60-873CC2EF20E0}"/>
            </a:ext>
          </a:extLst>
        </xdr:cNvPr>
        <xdr:cNvGrpSpPr/>
      </xdr:nvGrpSpPr>
      <xdr:grpSpPr>
        <a:xfrm>
          <a:off x="712469" y="6493508"/>
          <a:ext cx="17817185" cy="4012158"/>
          <a:chOff x="720724" y="6305526"/>
          <a:chExt cx="17741562" cy="4017258"/>
        </a:xfrm>
      </xdr:grpSpPr>
      <xdr:grpSp>
        <xdr:nvGrpSpPr>
          <xdr:cNvPr id="119" name="Group 1">
            <a:extLst>
              <a:ext uri="{FF2B5EF4-FFF2-40B4-BE49-F238E27FC236}">
                <a16:creationId xmlns:a16="http://schemas.microsoft.com/office/drawing/2014/main" id="{2AAF2D1C-9D81-4258-946C-E1904890CEB4}"/>
              </a:ext>
            </a:extLst>
          </xdr:cNvPr>
          <xdr:cNvGrpSpPr/>
        </xdr:nvGrpSpPr>
        <xdr:grpSpPr>
          <a:xfrm>
            <a:off x="720724" y="6305526"/>
            <a:ext cx="17319624" cy="4017258"/>
            <a:chOff x="2092203" y="524235"/>
            <a:chExt cx="17135797" cy="4218276"/>
          </a:xfrm>
        </xdr:grpSpPr>
        <xdr:sp macro="" textlink="">
          <xdr:nvSpPr>
            <xdr:cNvPr id="120" name="Rectangle 2">
              <a:extLst>
                <a:ext uri="{FF2B5EF4-FFF2-40B4-BE49-F238E27FC236}">
                  <a16:creationId xmlns:a16="http://schemas.microsoft.com/office/drawing/2014/main" id="{8105E3BD-1523-47D1-A412-56A268B147AD}"/>
                </a:ext>
              </a:extLst>
            </xdr:cNvPr>
            <xdr:cNvSpPr/>
          </xdr:nvSpPr>
          <xdr:spPr>
            <a:xfrm>
              <a:off x="7170757" y="524235"/>
              <a:ext cx="7591507" cy="555222"/>
            </a:xfrm>
            <a:prstGeom prst="rect">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400">
                  <a:solidFill>
                    <a:schemeClr val="tx1"/>
                  </a:solidFill>
                </a:rPr>
                <a:t>gCO</a:t>
              </a:r>
              <a:r>
                <a:rPr lang="en-GB" sz="1400" baseline="-25000">
                  <a:solidFill>
                    <a:schemeClr val="tx1"/>
                  </a:solidFill>
                </a:rPr>
                <a:t>2</a:t>
              </a:r>
              <a:r>
                <a:rPr lang="en-GB" sz="1400">
                  <a:solidFill>
                    <a:schemeClr val="tx1"/>
                  </a:solidFill>
                </a:rPr>
                <a:t>e/MJ final hydrogen</a:t>
              </a:r>
            </a:p>
          </xdr:txBody>
        </xdr:sp>
        <xdr:sp macro="" textlink="">
          <xdr:nvSpPr>
            <xdr:cNvPr id="121" name="Rectangle 3">
              <a:extLst>
                <a:ext uri="{FF2B5EF4-FFF2-40B4-BE49-F238E27FC236}">
                  <a16:creationId xmlns:a16="http://schemas.microsoft.com/office/drawing/2014/main" id="{D275D588-ADF4-42B1-BF7D-5E6FE4AB301E}"/>
                </a:ext>
              </a:extLst>
            </xdr:cNvPr>
            <xdr:cNvSpPr/>
          </xdr:nvSpPr>
          <xdr:spPr>
            <a:xfrm>
              <a:off x="4438418" y="1759786"/>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sp macro="" textlink="">
          <xdr:nvSpPr>
            <xdr:cNvPr id="122" name="Right Brace 4">
              <a:extLst>
                <a:ext uri="{FF2B5EF4-FFF2-40B4-BE49-F238E27FC236}">
                  <a16:creationId xmlns:a16="http://schemas.microsoft.com/office/drawing/2014/main" id="{DC0BFE3A-45C8-48BA-864E-D04E5DEC131A}"/>
                </a:ext>
              </a:extLst>
            </xdr:cNvPr>
            <xdr:cNvSpPr/>
          </xdr:nvSpPr>
          <xdr:spPr>
            <a:xfrm rot="16200000" flipV="1">
              <a:off x="10504575" y="-7249012"/>
              <a:ext cx="311054" cy="17135797"/>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123" name="Group 5">
              <a:extLst>
                <a:ext uri="{FF2B5EF4-FFF2-40B4-BE49-F238E27FC236}">
                  <a16:creationId xmlns:a16="http://schemas.microsoft.com/office/drawing/2014/main" id="{76ADDA6C-C01A-4E61-98D5-737C0755BA26}"/>
                </a:ext>
              </a:extLst>
            </xdr:cNvPr>
            <xdr:cNvGrpSpPr/>
          </xdr:nvGrpSpPr>
          <xdr:grpSpPr>
            <a:xfrm>
              <a:off x="2092205" y="1550418"/>
              <a:ext cx="2353004" cy="3192093"/>
              <a:chOff x="2092205" y="1550418"/>
              <a:chExt cx="2353004" cy="3192093"/>
            </a:xfrm>
          </xdr:grpSpPr>
          <xdr:sp macro="" textlink="">
            <xdr:nvSpPr>
              <xdr:cNvPr id="124" name="Rectangle 37">
                <a:extLst>
                  <a:ext uri="{FF2B5EF4-FFF2-40B4-BE49-F238E27FC236}">
                    <a16:creationId xmlns:a16="http://schemas.microsoft.com/office/drawing/2014/main" id="{402072AC-BE84-4811-BB76-C836DB854B0C}"/>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Feedstock supply</a:t>
                </a: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125" name="Group 38">
                <a:extLst>
                  <a:ext uri="{FF2B5EF4-FFF2-40B4-BE49-F238E27FC236}">
                    <a16:creationId xmlns:a16="http://schemas.microsoft.com/office/drawing/2014/main" id="{9B33D427-9F22-4A4E-872E-0B6031206665}"/>
                  </a:ext>
                </a:extLst>
              </xdr:cNvPr>
              <xdr:cNvGrpSpPr/>
            </xdr:nvGrpSpPr>
            <xdr:grpSpPr>
              <a:xfrm>
                <a:off x="2092205" y="2303053"/>
                <a:ext cx="2353004" cy="2439458"/>
                <a:chOff x="2085414" y="2571500"/>
                <a:chExt cx="2353004" cy="2439458"/>
              </a:xfrm>
            </xdr:grpSpPr>
            <xdr:sp macro="" textlink="">
              <xdr:nvSpPr>
                <xdr:cNvPr id="126" name="Right Brace 39">
                  <a:extLst>
                    <a:ext uri="{FF2B5EF4-FFF2-40B4-BE49-F238E27FC236}">
                      <a16:creationId xmlns:a16="http://schemas.microsoft.com/office/drawing/2014/main" id="{B1E16B9C-D1C3-4FAD-B1BA-E991025F80ED}"/>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127" name="Group 40">
                  <a:extLst>
                    <a:ext uri="{FF2B5EF4-FFF2-40B4-BE49-F238E27FC236}">
                      <a16:creationId xmlns:a16="http://schemas.microsoft.com/office/drawing/2014/main" id="{985744D8-0735-42A1-9A1C-DFE2B46AEE84}"/>
                    </a:ext>
                  </a:extLst>
                </xdr:cNvPr>
                <xdr:cNvGrpSpPr/>
              </xdr:nvGrpSpPr>
              <xdr:grpSpPr>
                <a:xfrm>
                  <a:off x="2206896" y="2965085"/>
                  <a:ext cx="2129001" cy="1288801"/>
                  <a:chOff x="2245767" y="1205236"/>
                  <a:chExt cx="2129001" cy="1288800"/>
                </a:xfrm>
              </xdr:grpSpPr>
              <xdr:sp macro="" textlink="">
                <xdr:nvSpPr>
                  <xdr:cNvPr id="6336" name="Rectangle 43">
                    <a:extLst>
                      <a:ext uri="{FF2B5EF4-FFF2-40B4-BE49-F238E27FC236}">
                        <a16:creationId xmlns:a16="http://schemas.microsoft.com/office/drawing/2014/main" id="{3E3FC2B1-D72A-4B2E-9B55-EDDA32F7B337}"/>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37" name="Rectangle 44">
                    <a:extLst>
                      <a:ext uri="{FF2B5EF4-FFF2-40B4-BE49-F238E27FC236}">
                        <a16:creationId xmlns:a16="http://schemas.microsoft.com/office/drawing/2014/main" id="{577BF0AF-A1F6-4FBF-8FF0-7767BF1E59EC}"/>
                      </a:ext>
                    </a:extLst>
                  </xdr:cNvPr>
                  <xdr:cNvSpPr/>
                </xdr:nvSpPr>
                <xdr:spPr>
                  <a:xfrm rot="16200000">
                    <a:off x="2209453" y="1693444"/>
                    <a:ext cx="1288647" cy="312383"/>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38" name="Rectangle 45">
                    <a:extLst>
                      <a:ext uri="{FF2B5EF4-FFF2-40B4-BE49-F238E27FC236}">
                        <a16:creationId xmlns:a16="http://schemas.microsoft.com/office/drawing/2014/main" id="{7651AE74-9D9D-48DF-B399-1B12676576A9}"/>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39" name="Rectangle 46">
                    <a:extLst>
                      <a:ext uri="{FF2B5EF4-FFF2-40B4-BE49-F238E27FC236}">
                        <a16:creationId xmlns:a16="http://schemas.microsoft.com/office/drawing/2014/main" id="{DBF87964-0A5A-49AD-913E-8BE5267AF019}"/>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40" name="Rectangle 47">
                    <a:extLst>
                      <a:ext uri="{FF2B5EF4-FFF2-40B4-BE49-F238E27FC236}">
                        <a16:creationId xmlns:a16="http://schemas.microsoft.com/office/drawing/2014/main" id="{30B8583B-6CAC-489C-A0B5-FB5DC7AD8BC0}"/>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41" name="Rectangle 48">
                    <a:extLst>
                      <a:ext uri="{FF2B5EF4-FFF2-40B4-BE49-F238E27FC236}">
                        <a16:creationId xmlns:a16="http://schemas.microsoft.com/office/drawing/2014/main" id="{728ACB46-FF97-4F87-A9E4-777EC32E2928}"/>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42" name="Rectangle 49">
                    <a:extLst>
                      <a:ext uri="{FF2B5EF4-FFF2-40B4-BE49-F238E27FC236}">
                        <a16:creationId xmlns:a16="http://schemas.microsoft.com/office/drawing/2014/main" id="{0FFD3406-287E-45A3-B4C1-82310B3BB27D}"/>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43" name="Rectangle 41">
                  <a:extLst>
                    <a:ext uri="{FF2B5EF4-FFF2-40B4-BE49-F238E27FC236}">
                      <a16:creationId xmlns:a16="http://schemas.microsoft.com/office/drawing/2014/main" id="{F2B5FD7F-35E2-4EEE-B405-D51AF3157D52}"/>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a:t>
                  </a:r>
                  <a:endParaRPr lang="en-GB" sz="1200" i="1">
                    <a:solidFill>
                      <a:schemeClr val="tx1"/>
                    </a:solidFill>
                  </a:endParaRPr>
                </a:p>
              </xdr:txBody>
            </xdr:sp>
            <xdr:sp macro="" textlink="">
              <xdr:nvSpPr>
                <xdr:cNvPr id="6344" name="Right Brace 42">
                  <a:extLst>
                    <a:ext uri="{FF2B5EF4-FFF2-40B4-BE49-F238E27FC236}">
                      <a16:creationId xmlns:a16="http://schemas.microsoft.com/office/drawing/2014/main" id="{7CC0AEA1-9E67-451D-B158-0B88B13857F9}"/>
                    </a:ext>
                  </a:extLst>
                </xdr:cNvPr>
                <xdr:cNvSpPr/>
              </xdr:nvSpPr>
              <xdr:spPr>
                <a:xfrm rot="16200000" flipV="1">
                  <a:off x="3125429" y="3265176"/>
                  <a:ext cx="292261" cy="23140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grpSp>
          <xdr:nvGrpSpPr>
            <xdr:cNvPr id="6345" name="Group 6">
              <a:extLst>
                <a:ext uri="{FF2B5EF4-FFF2-40B4-BE49-F238E27FC236}">
                  <a16:creationId xmlns:a16="http://schemas.microsoft.com/office/drawing/2014/main" id="{4FBCF123-DD37-44E4-806E-D8E3FECFB759}"/>
                </a:ext>
              </a:extLst>
            </xdr:cNvPr>
            <xdr:cNvGrpSpPr/>
          </xdr:nvGrpSpPr>
          <xdr:grpSpPr>
            <a:xfrm>
              <a:off x="4725570" y="1550418"/>
              <a:ext cx="2353004" cy="3192093"/>
              <a:chOff x="2092205" y="1550418"/>
              <a:chExt cx="2353004" cy="3192093"/>
            </a:xfrm>
          </xdr:grpSpPr>
          <xdr:sp macro="" textlink="">
            <xdr:nvSpPr>
              <xdr:cNvPr id="6346" name="Rectangle 24">
                <a:extLst>
                  <a:ext uri="{FF2B5EF4-FFF2-40B4-BE49-F238E27FC236}">
                    <a16:creationId xmlns:a16="http://schemas.microsoft.com/office/drawing/2014/main" id="{0AFE23B2-B937-4E71-A9CF-047612D990D1}"/>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Energy supply</a:t>
                </a: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6347" name="Group 25">
                <a:extLst>
                  <a:ext uri="{FF2B5EF4-FFF2-40B4-BE49-F238E27FC236}">
                    <a16:creationId xmlns:a16="http://schemas.microsoft.com/office/drawing/2014/main" id="{811261AE-A467-4AFB-9499-2EE09D6A6DBD}"/>
                  </a:ext>
                </a:extLst>
              </xdr:cNvPr>
              <xdr:cNvGrpSpPr/>
            </xdr:nvGrpSpPr>
            <xdr:grpSpPr>
              <a:xfrm>
                <a:off x="2092205" y="2303053"/>
                <a:ext cx="2353004" cy="2439458"/>
                <a:chOff x="2085414" y="2571500"/>
                <a:chExt cx="2353004" cy="2439458"/>
              </a:xfrm>
            </xdr:grpSpPr>
            <xdr:sp macro="" textlink="">
              <xdr:nvSpPr>
                <xdr:cNvPr id="6349" name="Right Brace 26">
                  <a:extLst>
                    <a:ext uri="{FF2B5EF4-FFF2-40B4-BE49-F238E27FC236}">
                      <a16:creationId xmlns:a16="http://schemas.microsoft.com/office/drawing/2014/main" id="{E9B1B922-69A4-4612-8C39-EDD122058534}"/>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6350" name="Group 27">
                  <a:extLst>
                    <a:ext uri="{FF2B5EF4-FFF2-40B4-BE49-F238E27FC236}">
                      <a16:creationId xmlns:a16="http://schemas.microsoft.com/office/drawing/2014/main" id="{48164666-3799-47BB-85BE-A0E8EDBF1CBC}"/>
                    </a:ext>
                  </a:extLst>
                </xdr:cNvPr>
                <xdr:cNvGrpSpPr/>
              </xdr:nvGrpSpPr>
              <xdr:grpSpPr>
                <a:xfrm>
                  <a:off x="2206896" y="2965085"/>
                  <a:ext cx="2129001" cy="1288801"/>
                  <a:chOff x="2245767" y="1205236"/>
                  <a:chExt cx="2129001" cy="1288800"/>
                </a:xfrm>
              </xdr:grpSpPr>
              <xdr:sp macro="" textlink="">
                <xdr:nvSpPr>
                  <xdr:cNvPr id="6352" name="Rectangle 30">
                    <a:extLst>
                      <a:ext uri="{FF2B5EF4-FFF2-40B4-BE49-F238E27FC236}">
                        <a16:creationId xmlns:a16="http://schemas.microsoft.com/office/drawing/2014/main" id="{FF4DBFA1-A4A3-47B9-BC65-D03E70E79EA8}"/>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53" name="Rectangle 31">
                    <a:extLst>
                      <a:ext uri="{FF2B5EF4-FFF2-40B4-BE49-F238E27FC236}">
                        <a16:creationId xmlns:a16="http://schemas.microsoft.com/office/drawing/2014/main" id="{B8392A49-51F5-4ACF-BCE5-D9BB70E43174}"/>
                      </a:ext>
                    </a:extLst>
                  </xdr:cNvPr>
                  <xdr:cNvSpPr/>
                </xdr:nvSpPr>
                <xdr:spPr>
                  <a:xfrm rot="16200000">
                    <a:off x="2192772" y="1676159"/>
                    <a:ext cx="1288647" cy="34695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55" name="Rectangle 32">
                    <a:extLst>
                      <a:ext uri="{FF2B5EF4-FFF2-40B4-BE49-F238E27FC236}">
                        <a16:creationId xmlns:a16="http://schemas.microsoft.com/office/drawing/2014/main" id="{7B29DA4D-B800-488E-B865-D5E71A8D1948}"/>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56" name="Rectangle 33">
                    <a:extLst>
                      <a:ext uri="{FF2B5EF4-FFF2-40B4-BE49-F238E27FC236}">
                        <a16:creationId xmlns:a16="http://schemas.microsoft.com/office/drawing/2014/main" id="{2B8D8A85-5D55-48E5-8AA7-ADD8CFF7B031}"/>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58" name="Rectangle 34">
                    <a:extLst>
                      <a:ext uri="{FF2B5EF4-FFF2-40B4-BE49-F238E27FC236}">
                        <a16:creationId xmlns:a16="http://schemas.microsoft.com/office/drawing/2014/main" id="{F3C8F283-EC0F-478B-8EE2-52805ED9E558}"/>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59" name="Rectangle 35">
                    <a:extLst>
                      <a:ext uri="{FF2B5EF4-FFF2-40B4-BE49-F238E27FC236}">
                        <a16:creationId xmlns:a16="http://schemas.microsoft.com/office/drawing/2014/main" id="{3AE5D1A6-151F-4EDA-9C73-FC9C6289DCB3}"/>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60" name="Rectangle 36">
                    <a:extLst>
                      <a:ext uri="{FF2B5EF4-FFF2-40B4-BE49-F238E27FC236}">
                        <a16:creationId xmlns:a16="http://schemas.microsoft.com/office/drawing/2014/main" id="{64C60F06-F823-45E9-BC98-4F0800D12D1C}"/>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61" name="Rectangle 28">
                  <a:extLst>
                    <a:ext uri="{FF2B5EF4-FFF2-40B4-BE49-F238E27FC236}">
                      <a16:creationId xmlns:a16="http://schemas.microsoft.com/office/drawing/2014/main" id="{0B712C61-C3E7-4757-BDC4-3BCD715E1B5B}"/>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a:t>
                  </a:r>
                  <a:endParaRPr lang="en-GB" sz="1200" i="1">
                    <a:solidFill>
                      <a:schemeClr val="tx1"/>
                    </a:solidFill>
                  </a:endParaRPr>
                </a:p>
              </xdr:txBody>
            </xdr:sp>
            <xdr:sp macro="" textlink="">
              <xdr:nvSpPr>
                <xdr:cNvPr id="6362" name="Right Brace 29">
                  <a:extLst>
                    <a:ext uri="{FF2B5EF4-FFF2-40B4-BE49-F238E27FC236}">
                      <a16:creationId xmlns:a16="http://schemas.microsoft.com/office/drawing/2014/main" id="{F87093B2-1759-4346-8B43-8107B03362E7}"/>
                    </a:ext>
                  </a:extLst>
                </xdr:cNvPr>
                <xdr:cNvSpPr/>
              </xdr:nvSpPr>
              <xdr:spPr>
                <a:xfrm rot="16200000" flipV="1">
                  <a:off x="3112829" y="3277776"/>
                  <a:ext cx="292261" cy="22888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sp macro="" textlink="">
          <xdr:nvSpPr>
            <xdr:cNvPr id="6364" name="Rectangle 7">
              <a:extLst>
                <a:ext uri="{FF2B5EF4-FFF2-40B4-BE49-F238E27FC236}">
                  <a16:creationId xmlns:a16="http://schemas.microsoft.com/office/drawing/2014/main" id="{AA68DE6E-9F56-49C3-9F13-E4BBB08CF7D0}"/>
                </a:ext>
              </a:extLst>
            </xdr:cNvPr>
            <xdr:cNvSpPr/>
          </xdr:nvSpPr>
          <xdr:spPr>
            <a:xfrm>
              <a:off x="7043555" y="1755638"/>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nvGrpSpPr>
            <xdr:cNvPr id="6365" name="Group 8">
              <a:extLst>
                <a:ext uri="{FF2B5EF4-FFF2-40B4-BE49-F238E27FC236}">
                  <a16:creationId xmlns:a16="http://schemas.microsoft.com/office/drawing/2014/main" id="{36BD932E-622D-44D4-87F5-7A99A7CE6067}"/>
                </a:ext>
              </a:extLst>
            </xdr:cNvPr>
            <xdr:cNvGrpSpPr/>
          </xdr:nvGrpSpPr>
          <xdr:grpSpPr>
            <a:xfrm>
              <a:off x="7330707" y="1546270"/>
              <a:ext cx="2353004" cy="3192093"/>
              <a:chOff x="2092205" y="1550418"/>
              <a:chExt cx="2353004" cy="3192093"/>
            </a:xfrm>
          </xdr:grpSpPr>
          <xdr:sp macro="" textlink="">
            <xdr:nvSpPr>
              <xdr:cNvPr id="6367" name="Rectangle 11">
                <a:extLst>
                  <a:ext uri="{FF2B5EF4-FFF2-40B4-BE49-F238E27FC236}">
                    <a16:creationId xmlns:a16="http://schemas.microsoft.com/office/drawing/2014/main" id="{092BBA71-3534-4261-BEA3-0406F9E03C30}"/>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 materials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6368" name="Group 12">
                <a:extLst>
                  <a:ext uri="{FF2B5EF4-FFF2-40B4-BE49-F238E27FC236}">
                    <a16:creationId xmlns:a16="http://schemas.microsoft.com/office/drawing/2014/main" id="{D6F33219-7A07-483B-AD61-812E1E1AC80A}"/>
                  </a:ext>
                </a:extLst>
              </xdr:cNvPr>
              <xdr:cNvGrpSpPr/>
            </xdr:nvGrpSpPr>
            <xdr:grpSpPr>
              <a:xfrm>
                <a:off x="2092205" y="2303053"/>
                <a:ext cx="2353004" cy="2439458"/>
                <a:chOff x="2085414" y="2571500"/>
                <a:chExt cx="2353004" cy="2439458"/>
              </a:xfrm>
            </xdr:grpSpPr>
            <xdr:sp macro="" textlink="">
              <xdr:nvSpPr>
                <xdr:cNvPr id="6370" name="Right Brace 13">
                  <a:extLst>
                    <a:ext uri="{FF2B5EF4-FFF2-40B4-BE49-F238E27FC236}">
                      <a16:creationId xmlns:a16="http://schemas.microsoft.com/office/drawing/2014/main" id="{06BB2E56-0FD6-4B36-A1EB-C2EF9240E321}"/>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6371" name="Group 14">
                  <a:extLst>
                    <a:ext uri="{FF2B5EF4-FFF2-40B4-BE49-F238E27FC236}">
                      <a16:creationId xmlns:a16="http://schemas.microsoft.com/office/drawing/2014/main" id="{D97FACD1-DC8B-4CC6-972C-4F7F0C62130F}"/>
                    </a:ext>
                  </a:extLst>
                </xdr:cNvPr>
                <xdr:cNvGrpSpPr/>
              </xdr:nvGrpSpPr>
              <xdr:grpSpPr>
                <a:xfrm>
                  <a:off x="2206896" y="2965085"/>
                  <a:ext cx="2129001" cy="1288801"/>
                  <a:chOff x="2245767" y="1205236"/>
                  <a:chExt cx="2129001" cy="1288800"/>
                </a:xfrm>
              </xdr:grpSpPr>
              <xdr:sp macro="" textlink="">
                <xdr:nvSpPr>
                  <xdr:cNvPr id="6373" name="Rectangle 17">
                    <a:extLst>
                      <a:ext uri="{FF2B5EF4-FFF2-40B4-BE49-F238E27FC236}">
                        <a16:creationId xmlns:a16="http://schemas.microsoft.com/office/drawing/2014/main" id="{6004B6BD-4BF1-44E3-805D-BCFE541F776A}"/>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74" name="Rectangle 18">
                    <a:extLst>
                      <a:ext uri="{FF2B5EF4-FFF2-40B4-BE49-F238E27FC236}">
                        <a16:creationId xmlns:a16="http://schemas.microsoft.com/office/drawing/2014/main" id="{1BAD5BE5-EB90-4C72-98ED-E6AAC05CD67E}"/>
                      </a:ext>
                    </a:extLst>
                  </xdr:cNvPr>
                  <xdr:cNvSpPr/>
                </xdr:nvSpPr>
                <xdr:spPr>
                  <a:xfrm rot="16200000">
                    <a:off x="2218993" y="1683905"/>
                    <a:ext cx="1288647" cy="33146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76" name="Rectangle 19">
                    <a:extLst>
                      <a:ext uri="{FF2B5EF4-FFF2-40B4-BE49-F238E27FC236}">
                        <a16:creationId xmlns:a16="http://schemas.microsoft.com/office/drawing/2014/main" id="{92091420-6D3F-4032-8313-CCC6420BAB18}"/>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77" name="Rectangle 20">
                    <a:extLst>
                      <a:ext uri="{FF2B5EF4-FFF2-40B4-BE49-F238E27FC236}">
                        <a16:creationId xmlns:a16="http://schemas.microsoft.com/office/drawing/2014/main" id="{57C35457-EE38-4F7F-ABDD-F33B01CC8559}"/>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79" name="Rectangle 21">
                    <a:extLst>
                      <a:ext uri="{FF2B5EF4-FFF2-40B4-BE49-F238E27FC236}">
                        <a16:creationId xmlns:a16="http://schemas.microsoft.com/office/drawing/2014/main" id="{CF72796C-9258-4862-BD79-2D58E0F6EB87}"/>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80" name="Rectangle 22">
                    <a:extLst>
                      <a:ext uri="{FF2B5EF4-FFF2-40B4-BE49-F238E27FC236}">
                        <a16:creationId xmlns:a16="http://schemas.microsoft.com/office/drawing/2014/main" id="{290A5502-5F63-4BAA-87BB-B227406C3AC6}"/>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83" name="Rectangle 23">
                    <a:extLst>
                      <a:ext uri="{FF2B5EF4-FFF2-40B4-BE49-F238E27FC236}">
                        <a16:creationId xmlns:a16="http://schemas.microsoft.com/office/drawing/2014/main" id="{E8EE99E2-77AE-4BB9-947E-774F01553CFB}"/>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84" name="Rectangle 15">
                  <a:extLst>
                    <a:ext uri="{FF2B5EF4-FFF2-40B4-BE49-F238E27FC236}">
                      <a16:creationId xmlns:a16="http://schemas.microsoft.com/office/drawing/2014/main" id="{D19F05A1-2E02-4789-A74E-67AE2434BB3B}"/>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sp macro="" textlink="">
              <xdr:nvSpPr>
                <xdr:cNvPr id="6385" name="Right Brace 16">
                  <a:extLst>
                    <a:ext uri="{FF2B5EF4-FFF2-40B4-BE49-F238E27FC236}">
                      <a16:creationId xmlns:a16="http://schemas.microsoft.com/office/drawing/2014/main" id="{25814079-4030-4B61-8627-EEF514436F15}"/>
                    </a:ext>
                  </a:extLst>
                </xdr:cNvPr>
                <xdr:cNvSpPr/>
              </xdr:nvSpPr>
              <xdr:spPr>
                <a:xfrm rot="16200000" flipV="1">
                  <a:off x="3110755" y="3279850"/>
                  <a:ext cx="296409" cy="22888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grpSp>
      <xdr:sp macro="" textlink="">
        <xdr:nvSpPr>
          <xdr:cNvPr id="6386" name="Rectangle 121">
            <a:extLst>
              <a:ext uri="{FF2B5EF4-FFF2-40B4-BE49-F238E27FC236}">
                <a16:creationId xmlns:a16="http://schemas.microsoft.com/office/drawing/2014/main" id="{C6780193-0428-4DBB-9866-346D63676163}"/>
              </a:ext>
            </a:extLst>
          </xdr:cNvPr>
          <xdr:cNvSpPr/>
        </xdr:nvSpPr>
        <xdr:spPr>
          <a:xfrm>
            <a:off x="8743914" y="7273925"/>
            <a:ext cx="2142853"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Process emissions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7" name="Rectangle 122">
            <a:extLst>
              <a:ext uri="{FF2B5EF4-FFF2-40B4-BE49-F238E27FC236}">
                <a16:creationId xmlns:a16="http://schemas.microsoft.com/office/drawing/2014/main" id="{7382D781-0D73-4B75-AF3B-71C11B3941C1}"/>
              </a:ext>
            </a:extLst>
          </xdr:cNvPr>
          <xdr:cNvSpPr/>
        </xdr:nvSpPr>
        <xdr:spPr>
          <a:xfrm>
            <a:off x="11304787" y="7275568"/>
            <a:ext cx="2146422" cy="65841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CCS</a:t>
            </a:r>
            <a:r>
              <a:rPr lang="en-GB" sz="1200" baseline="0">
                <a:solidFill>
                  <a:schemeClr val="tx1"/>
                </a:solidFill>
              </a:rPr>
              <a:t> process and infrastructure</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8" name="Rectangle 123">
            <a:extLst>
              <a:ext uri="{FF2B5EF4-FFF2-40B4-BE49-F238E27FC236}">
                <a16:creationId xmlns:a16="http://schemas.microsoft.com/office/drawing/2014/main" id="{440655E4-3679-4C11-B322-3DD9CB4D2F80}"/>
              </a:ext>
            </a:extLst>
          </xdr:cNvPr>
          <xdr:cNvSpPr/>
        </xdr:nvSpPr>
        <xdr:spPr>
          <a:xfrm>
            <a:off x="13820658" y="7273925"/>
            <a:ext cx="2142853"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CO</a:t>
            </a:r>
            <a:r>
              <a:rPr lang="en-GB" sz="1200" baseline="-25000">
                <a:solidFill>
                  <a:schemeClr val="tx1"/>
                </a:solidFill>
              </a:rPr>
              <a:t>2</a:t>
            </a:r>
            <a:r>
              <a:rPr lang="en-GB" sz="1200">
                <a:solidFill>
                  <a:schemeClr val="tx1"/>
                </a:solidFill>
              </a:rPr>
              <a:t> sequestration</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9" name="Rectangle 124">
            <a:extLst>
              <a:ext uri="{FF2B5EF4-FFF2-40B4-BE49-F238E27FC236}">
                <a16:creationId xmlns:a16="http://schemas.microsoft.com/office/drawing/2014/main" id="{ABE68568-FCA3-48A4-B17F-E79FAB1C97FD}"/>
              </a:ext>
            </a:extLst>
          </xdr:cNvPr>
          <xdr:cNvSpPr/>
        </xdr:nvSpPr>
        <xdr:spPr>
          <a:xfrm>
            <a:off x="16316258" y="7273925"/>
            <a:ext cx="2146028"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Fugitive non-CO</a:t>
            </a:r>
            <a:r>
              <a:rPr lang="en-GB" sz="1200" baseline="-25000">
                <a:solidFill>
                  <a:schemeClr val="tx1"/>
                </a:solidFill>
              </a:rPr>
              <a:t>2</a:t>
            </a:r>
            <a:r>
              <a:rPr lang="en-GB" sz="1200">
                <a:solidFill>
                  <a:schemeClr val="tx1"/>
                </a:solidFill>
              </a:rPr>
              <a:t> emissions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clientData/>
  </xdr:twoCellAnchor>
  <xdr:twoCellAnchor>
    <xdr:from>
      <xdr:col>13</xdr:col>
      <xdr:colOff>609599</xdr:colOff>
      <xdr:row>44</xdr:row>
      <xdr:rowOff>141899</xdr:rowOff>
    </xdr:from>
    <xdr:to>
      <xdr:col>17</xdr:col>
      <xdr:colOff>550799</xdr:colOff>
      <xdr:row>46</xdr:row>
      <xdr:rowOff>50799</xdr:rowOff>
    </xdr:to>
    <xdr:sp macro="" textlink="">
      <xdr:nvSpPr>
        <xdr:cNvPr id="6437" name="Right Brace 125">
          <a:extLst>
            <a:ext uri="{FF2B5EF4-FFF2-40B4-BE49-F238E27FC236}">
              <a16:creationId xmlns:a16="http://schemas.microsoft.com/office/drawing/2014/main" id="{FDA88632-3495-47E4-9CA7-006F78CA276E}"/>
            </a:ext>
          </a:extLst>
        </xdr:cNvPr>
        <xdr:cNvSpPr/>
      </xdr:nvSpPr>
      <xdr:spPr>
        <a:xfrm rot="16200000" flipV="1">
          <a:off x="9588774" y="6936124"/>
          <a:ext cx="270850"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18</xdr:col>
      <xdr:colOff>279399</xdr:colOff>
      <xdr:row>44</xdr:row>
      <xdr:rowOff>145074</xdr:rowOff>
    </xdr:from>
    <xdr:to>
      <xdr:col>22</xdr:col>
      <xdr:colOff>220599</xdr:colOff>
      <xdr:row>46</xdr:row>
      <xdr:rowOff>57149</xdr:rowOff>
    </xdr:to>
    <xdr:sp macro="" textlink="">
      <xdr:nvSpPr>
        <xdr:cNvPr id="5770" name="Right Brace 126">
          <a:extLst>
            <a:ext uri="{FF2B5EF4-FFF2-40B4-BE49-F238E27FC236}">
              <a16:creationId xmlns:a16="http://schemas.microsoft.com/office/drawing/2014/main" id="{DFBFB3BB-FA84-4BC3-BDCE-A67E2F07B002}"/>
            </a:ext>
          </a:extLst>
        </xdr:cNvPr>
        <xdr:cNvSpPr/>
      </xdr:nvSpPr>
      <xdr:spPr>
        <a:xfrm rot="16200000" flipV="1">
          <a:off x="12304986" y="6940887"/>
          <a:ext cx="274025"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22</xdr:col>
      <xdr:colOff>409574</xdr:colOff>
      <xdr:row>44</xdr:row>
      <xdr:rowOff>145073</xdr:rowOff>
    </xdr:from>
    <xdr:to>
      <xdr:col>26</xdr:col>
      <xdr:colOff>350774</xdr:colOff>
      <xdr:row>46</xdr:row>
      <xdr:rowOff>50798</xdr:rowOff>
    </xdr:to>
    <xdr:sp macro="" textlink="">
      <xdr:nvSpPr>
        <xdr:cNvPr id="5781" name="Right Brace 127">
          <a:extLst>
            <a:ext uri="{FF2B5EF4-FFF2-40B4-BE49-F238E27FC236}">
              <a16:creationId xmlns:a16="http://schemas.microsoft.com/office/drawing/2014/main" id="{7FF53D7D-67AD-4D64-BFFB-2ECFE8662871}"/>
            </a:ext>
          </a:extLst>
        </xdr:cNvPr>
        <xdr:cNvSpPr/>
      </xdr:nvSpPr>
      <xdr:spPr>
        <a:xfrm rot="16200000" flipV="1">
          <a:off x="14876736" y="6937711"/>
          <a:ext cx="267675"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26</xdr:col>
      <xdr:colOff>476251</xdr:colOff>
      <xdr:row>44</xdr:row>
      <xdr:rowOff>141898</xdr:rowOff>
    </xdr:from>
    <xdr:to>
      <xdr:col>30</xdr:col>
      <xdr:colOff>417451</xdr:colOff>
      <xdr:row>46</xdr:row>
      <xdr:rowOff>47623</xdr:rowOff>
    </xdr:to>
    <xdr:sp macro="" textlink="">
      <xdr:nvSpPr>
        <xdr:cNvPr id="5799" name="Right Brace 128">
          <a:extLst>
            <a:ext uri="{FF2B5EF4-FFF2-40B4-BE49-F238E27FC236}">
              <a16:creationId xmlns:a16="http://schemas.microsoft.com/office/drawing/2014/main" id="{403E5F66-928E-4FB1-95FC-1C3257A85464}"/>
            </a:ext>
          </a:extLst>
        </xdr:cNvPr>
        <xdr:cNvSpPr/>
      </xdr:nvSpPr>
      <xdr:spPr>
        <a:xfrm rot="16200000" flipV="1">
          <a:off x="17381813" y="6934536"/>
          <a:ext cx="267675"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13</xdr:col>
      <xdr:colOff>384174</xdr:colOff>
      <xdr:row>41</xdr:row>
      <xdr:rowOff>180973</xdr:rowOff>
    </xdr:from>
    <xdr:to>
      <xdr:col>14</xdr:col>
      <xdr:colOff>104020</xdr:colOff>
      <xdr:row>43</xdr:row>
      <xdr:rowOff>37729</xdr:rowOff>
    </xdr:to>
    <xdr:sp macro="" textlink="">
      <xdr:nvSpPr>
        <xdr:cNvPr id="208" name="Rectangle 129">
          <a:extLst>
            <a:ext uri="{FF2B5EF4-FFF2-40B4-BE49-F238E27FC236}">
              <a16:creationId xmlns:a16="http://schemas.microsoft.com/office/drawing/2014/main" id="{259D39BC-F66A-495A-BC19-FF04FB5AEF58}"/>
            </a:ext>
          </a:extLst>
        </xdr:cNvPr>
        <xdr:cNvSpPr/>
      </xdr:nvSpPr>
      <xdr:spPr>
        <a:xfrm>
          <a:off x="8308974" y="7486648"/>
          <a:ext cx="329446" cy="218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17</xdr:col>
      <xdr:colOff>561974</xdr:colOff>
      <xdr:row>42</xdr:row>
      <xdr:rowOff>9523</xdr:rowOff>
    </xdr:from>
    <xdr:to>
      <xdr:col>18</xdr:col>
      <xdr:colOff>284995</xdr:colOff>
      <xdr:row>43</xdr:row>
      <xdr:rowOff>37729</xdr:rowOff>
    </xdr:to>
    <xdr:sp macro="" textlink="">
      <xdr:nvSpPr>
        <xdr:cNvPr id="5744" name="Rectangle 130">
          <a:extLst>
            <a:ext uri="{FF2B5EF4-FFF2-40B4-BE49-F238E27FC236}">
              <a16:creationId xmlns:a16="http://schemas.microsoft.com/office/drawing/2014/main" id="{4D87BBD0-31E9-4EC1-8EA7-DAB6360E7D68}"/>
            </a:ext>
          </a:extLst>
        </xdr:cNvPr>
        <xdr:cNvSpPr/>
      </xdr:nvSpPr>
      <xdr:spPr>
        <a:xfrm>
          <a:off x="10925174" y="7496173"/>
          <a:ext cx="332621" cy="2091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22</xdr:col>
      <xdr:colOff>76200</xdr:colOff>
      <xdr:row>42</xdr:row>
      <xdr:rowOff>6350</xdr:rowOff>
    </xdr:from>
    <xdr:to>
      <xdr:col>22</xdr:col>
      <xdr:colOff>408821</xdr:colOff>
      <xdr:row>43</xdr:row>
      <xdr:rowOff>37731</xdr:rowOff>
    </xdr:to>
    <xdr:sp macro="" textlink="">
      <xdr:nvSpPr>
        <xdr:cNvPr id="5733" name="Rectangle 131">
          <a:extLst>
            <a:ext uri="{FF2B5EF4-FFF2-40B4-BE49-F238E27FC236}">
              <a16:creationId xmlns:a16="http://schemas.microsoft.com/office/drawing/2014/main" id="{D57F1599-7AE2-4A2A-AC60-83EB9610CD3D}"/>
            </a:ext>
          </a:extLst>
        </xdr:cNvPr>
        <xdr:cNvSpPr/>
      </xdr:nvSpPr>
      <xdr:spPr>
        <a:xfrm>
          <a:off x="13487400" y="7493000"/>
          <a:ext cx="332621" cy="2123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26</xdr:col>
      <xdr:colOff>123825</xdr:colOff>
      <xdr:row>42</xdr:row>
      <xdr:rowOff>19050</xdr:rowOff>
    </xdr:from>
    <xdr:to>
      <xdr:col>26</xdr:col>
      <xdr:colOff>459621</xdr:colOff>
      <xdr:row>43</xdr:row>
      <xdr:rowOff>47256</xdr:rowOff>
    </xdr:to>
    <xdr:sp macro="" textlink="">
      <xdr:nvSpPr>
        <xdr:cNvPr id="5710" name="Rectangle 132">
          <a:extLst>
            <a:ext uri="{FF2B5EF4-FFF2-40B4-BE49-F238E27FC236}">
              <a16:creationId xmlns:a16="http://schemas.microsoft.com/office/drawing/2014/main" id="{A852CA7C-56BB-40F3-A548-93A81326AF1A}"/>
            </a:ext>
          </a:extLst>
        </xdr:cNvPr>
        <xdr:cNvSpPr/>
      </xdr:nvSpPr>
      <xdr:spPr>
        <a:xfrm>
          <a:off x="15973425" y="7505700"/>
          <a:ext cx="335796" cy="2091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14</xdr:col>
      <xdr:colOff>114588</xdr:colOff>
      <xdr:row>47</xdr:row>
      <xdr:rowOff>29762</xdr:rowOff>
    </xdr:from>
    <xdr:to>
      <xdr:col>14</xdr:col>
      <xdr:colOff>352613</xdr:colOff>
      <xdr:row>53</xdr:row>
      <xdr:rowOff>132337</xdr:rowOff>
    </xdr:to>
    <xdr:sp macro="" textlink="">
      <xdr:nvSpPr>
        <xdr:cNvPr id="6209" name="Rectangle 136">
          <a:extLst>
            <a:ext uri="{FF2B5EF4-FFF2-40B4-BE49-F238E27FC236}">
              <a16:creationId xmlns:a16="http://schemas.microsoft.com/office/drawing/2014/main" id="{C6BF7D96-C225-43B4-900C-6C415340B894}"/>
            </a:ext>
          </a:extLst>
        </xdr:cNvPr>
        <xdr:cNvSpPr/>
      </xdr:nvSpPr>
      <xdr:spPr>
        <a:xfrm rot="16200000">
          <a:off x="8173788" y="8896487"/>
          <a:ext cx="1188425" cy="23802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15</xdr:col>
      <xdr:colOff>85730</xdr:colOff>
      <xdr:row>47</xdr:row>
      <xdr:rowOff>26587</xdr:rowOff>
    </xdr:from>
    <xdr:to>
      <xdr:col>15</xdr:col>
      <xdr:colOff>454025</xdr:colOff>
      <xdr:row>53</xdr:row>
      <xdr:rowOff>171512</xdr:rowOff>
    </xdr:to>
    <xdr:sp macro="" textlink="">
      <xdr:nvSpPr>
        <xdr:cNvPr id="6210" name="Rectangle 137">
          <a:extLst>
            <a:ext uri="{FF2B5EF4-FFF2-40B4-BE49-F238E27FC236}">
              <a16:creationId xmlns:a16="http://schemas.microsoft.com/office/drawing/2014/main" id="{7708AD8C-2952-4DB9-92E7-40E355054366}"/>
            </a:ext>
          </a:extLst>
        </xdr:cNvPr>
        <xdr:cNvSpPr/>
      </xdr:nvSpPr>
      <xdr:spPr>
        <a:xfrm rot="16200000">
          <a:off x="8798490" y="9030327"/>
          <a:ext cx="1230775" cy="36829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16</xdr:col>
      <xdr:colOff>88312</xdr:colOff>
      <xdr:row>47</xdr:row>
      <xdr:rowOff>26586</xdr:rowOff>
    </xdr:from>
    <xdr:to>
      <xdr:col>16</xdr:col>
      <xdr:colOff>535562</xdr:colOff>
      <xdr:row>53</xdr:row>
      <xdr:rowOff>171511</xdr:rowOff>
    </xdr:to>
    <xdr:sp macro="" textlink="">
      <xdr:nvSpPr>
        <xdr:cNvPr id="6207" name="Rectangle 138">
          <a:extLst>
            <a:ext uri="{FF2B5EF4-FFF2-40B4-BE49-F238E27FC236}">
              <a16:creationId xmlns:a16="http://schemas.microsoft.com/office/drawing/2014/main" id="{D155227A-DE66-4421-82FD-78A9863B51AA}"/>
            </a:ext>
          </a:extLst>
        </xdr:cNvPr>
        <xdr:cNvSpPr/>
      </xdr:nvSpPr>
      <xdr:spPr>
        <a:xfrm rot="16200000">
          <a:off x="9450149" y="8809874"/>
          <a:ext cx="123077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17</xdr:col>
      <xdr:colOff>114718</xdr:colOff>
      <xdr:row>47</xdr:row>
      <xdr:rowOff>26586</xdr:rowOff>
    </xdr:from>
    <xdr:to>
      <xdr:col>17</xdr:col>
      <xdr:colOff>561968</xdr:colOff>
      <xdr:row>53</xdr:row>
      <xdr:rowOff>171511</xdr:rowOff>
    </xdr:to>
    <xdr:sp macro="" textlink="">
      <xdr:nvSpPr>
        <xdr:cNvPr id="6208" name="Rectangle 139">
          <a:extLst>
            <a:ext uri="{FF2B5EF4-FFF2-40B4-BE49-F238E27FC236}">
              <a16:creationId xmlns:a16="http://schemas.microsoft.com/office/drawing/2014/main" id="{B13C777B-CB52-4F36-A33C-65AD913E2554}"/>
            </a:ext>
          </a:extLst>
        </xdr:cNvPr>
        <xdr:cNvSpPr/>
      </xdr:nvSpPr>
      <xdr:spPr>
        <a:xfrm rot="16200000">
          <a:off x="10086155" y="8809874"/>
          <a:ext cx="123077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18</xdr:col>
      <xdr:colOff>343189</xdr:colOff>
      <xdr:row>47</xdr:row>
      <xdr:rowOff>10711</xdr:rowOff>
    </xdr:from>
    <xdr:to>
      <xdr:col>18</xdr:col>
      <xdr:colOff>581214</xdr:colOff>
      <xdr:row>53</xdr:row>
      <xdr:rowOff>113286</xdr:rowOff>
    </xdr:to>
    <xdr:sp macro="" textlink="">
      <xdr:nvSpPr>
        <xdr:cNvPr id="6220" name="Rectangle 141">
          <a:extLst>
            <a:ext uri="{FF2B5EF4-FFF2-40B4-BE49-F238E27FC236}">
              <a16:creationId xmlns:a16="http://schemas.microsoft.com/office/drawing/2014/main" id="{C2D82FC3-CFFD-450A-A215-5CAE562B0862}"/>
            </a:ext>
          </a:extLst>
        </xdr:cNvPr>
        <xdr:cNvSpPr/>
      </xdr:nvSpPr>
      <xdr:spPr>
        <a:xfrm rot="16200000">
          <a:off x="10840789" y="8877436"/>
          <a:ext cx="1188425" cy="23802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19</xdr:col>
      <xdr:colOff>285750</xdr:colOff>
      <xdr:row>47</xdr:row>
      <xdr:rowOff>7535</xdr:rowOff>
    </xdr:from>
    <xdr:to>
      <xdr:col>20</xdr:col>
      <xdr:colOff>57150</xdr:colOff>
      <xdr:row>53</xdr:row>
      <xdr:rowOff>152460</xdr:rowOff>
    </xdr:to>
    <xdr:sp macro="" textlink="">
      <xdr:nvSpPr>
        <xdr:cNvPr id="6222" name="Rectangle 142">
          <a:extLst>
            <a:ext uri="{FF2B5EF4-FFF2-40B4-BE49-F238E27FC236}">
              <a16:creationId xmlns:a16="http://schemas.microsoft.com/office/drawing/2014/main" id="{94E668A9-51AD-4CA5-A7E9-8AFC7CA8E10D}"/>
            </a:ext>
          </a:extLst>
        </xdr:cNvPr>
        <xdr:cNvSpPr/>
      </xdr:nvSpPr>
      <xdr:spPr>
        <a:xfrm rot="16200000">
          <a:off x="11443262" y="9004923"/>
          <a:ext cx="1230775" cy="38100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20</xdr:col>
      <xdr:colOff>316913</xdr:colOff>
      <xdr:row>47</xdr:row>
      <xdr:rowOff>7535</xdr:rowOff>
    </xdr:from>
    <xdr:to>
      <xdr:col>21</xdr:col>
      <xdr:colOff>154563</xdr:colOff>
      <xdr:row>53</xdr:row>
      <xdr:rowOff>152460</xdr:rowOff>
    </xdr:to>
    <xdr:sp macro="" textlink="">
      <xdr:nvSpPr>
        <xdr:cNvPr id="6219" name="Rectangle 143">
          <a:extLst>
            <a:ext uri="{FF2B5EF4-FFF2-40B4-BE49-F238E27FC236}">
              <a16:creationId xmlns:a16="http://schemas.microsoft.com/office/drawing/2014/main" id="{BBAB12A7-0A12-414F-AAED-7D3145B3EEA1}"/>
            </a:ext>
          </a:extLst>
        </xdr:cNvPr>
        <xdr:cNvSpPr/>
      </xdr:nvSpPr>
      <xdr:spPr>
        <a:xfrm rot="16200000">
          <a:off x="12117150" y="8790823"/>
          <a:ext cx="123077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21</xdr:col>
      <xdr:colOff>343319</xdr:colOff>
      <xdr:row>47</xdr:row>
      <xdr:rowOff>7535</xdr:rowOff>
    </xdr:from>
    <xdr:to>
      <xdr:col>22</xdr:col>
      <xdr:colOff>180969</xdr:colOff>
      <xdr:row>53</xdr:row>
      <xdr:rowOff>152460</xdr:rowOff>
    </xdr:to>
    <xdr:sp macro="" textlink="">
      <xdr:nvSpPr>
        <xdr:cNvPr id="6221" name="Rectangle 144">
          <a:extLst>
            <a:ext uri="{FF2B5EF4-FFF2-40B4-BE49-F238E27FC236}">
              <a16:creationId xmlns:a16="http://schemas.microsoft.com/office/drawing/2014/main" id="{FA1BADBC-3EB4-4E83-BF28-8A9855645AED}"/>
            </a:ext>
          </a:extLst>
        </xdr:cNvPr>
        <xdr:cNvSpPr/>
      </xdr:nvSpPr>
      <xdr:spPr>
        <a:xfrm rot="16200000">
          <a:off x="12753156" y="8790823"/>
          <a:ext cx="123077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22</xdr:col>
      <xdr:colOff>533690</xdr:colOff>
      <xdr:row>47</xdr:row>
      <xdr:rowOff>1187</xdr:rowOff>
    </xdr:from>
    <xdr:to>
      <xdr:col>23</xdr:col>
      <xdr:colOff>162115</xdr:colOff>
      <xdr:row>53</xdr:row>
      <xdr:rowOff>103762</xdr:rowOff>
    </xdr:to>
    <xdr:sp macro="" textlink="">
      <xdr:nvSpPr>
        <xdr:cNvPr id="6233" name="Rectangle 145">
          <a:extLst>
            <a:ext uri="{FF2B5EF4-FFF2-40B4-BE49-F238E27FC236}">
              <a16:creationId xmlns:a16="http://schemas.microsoft.com/office/drawing/2014/main" id="{07408BC3-8652-4154-9AE1-E78DD77BFB73}"/>
            </a:ext>
          </a:extLst>
        </xdr:cNvPr>
        <xdr:cNvSpPr/>
      </xdr:nvSpPr>
      <xdr:spPr>
        <a:xfrm rot="16200000">
          <a:off x="13469690" y="8867912"/>
          <a:ext cx="1188425" cy="23802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23</xdr:col>
      <xdr:colOff>476254</xdr:colOff>
      <xdr:row>47</xdr:row>
      <xdr:rowOff>1187</xdr:rowOff>
    </xdr:from>
    <xdr:to>
      <xdr:col>24</xdr:col>
      <xdr:colOff>238128</xdr:colOff>
      <xdr:row>53</xdr:row>
      <xdr:rowOff>142937</xdr:rowOff>
    </xdr:to>
    <xdr:sp macro="" textlink="">
      <xdr:nvSpPr>
        <xdr:cNvPr id="6231" name="Rectangle 146">
          <a:extLst>
            <a:ext uri="{FF2B5EF4-FFF2-40B4-BE49-F238E27FC236}">
              <a16:creationId xmlns:a16="http://schemas.microsoft.com/office/drawing/2014/main" id="{49EA7DE0-86C5-423F-805D-B0B970CD7616}"/>
            </a:ext>
          </a:extLst>
        </xdr:cNvPr>
        <xdr:cNvSpPr/>
      </xdr:nvSpPr>
      <xdr:spPr>
        <a:xfrm rot="16200000">
          <a:off x="14068991" y="9001750"/>
          <a:ext cx="1227600" cy="371474"/>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24</xdr:col>
      <xdr:colOff>507414</xdr:colOff>
      <xdr:row>46</xdr:row>
      <xdr:rowOff>178986</xdr:rowOff>
    </xdr:from>
    <xdr:to>
      <xdr:col>25</xdr:col>
      <xdr:colOff>345064</xdr:colOff>
      <xdr:row>53</xdr:row>
      <xdr:rowOff>142936</xdr:rowOff>
    </xdr:to>
    <xdr:sp macro="" textlink="">
      <xdr:nvSpPr>
        <xdr:cNvPr id="6234" name="Rectangle 147">
          <a:extLst>
            <a:ext uri="{FF2B5EF4-FFF2-40B4-BE49-F238E27FC236}">
              <a16:creationId xmlns:a16="http://schemas.microsoft.com/office/drawing/2014/main" id="{FD5CEDC0-99AE-4234-9A3E-BA8FAD91792A}"/>
            </a:ext>
          </a:extLst>
        </xdr:cNvPr>
        <xdr:cNvSpPr/>
      </xdr:nvSpPr>
      <xdr:spPr>
        <a:xfrm rot="16200000">
          <a:off x="14746051" y="8781299"/>
          <a:ext cx="123077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25</xdr:col>
      <xdr:colOff>533820</xdr:colOff>
      <xdr:row>46</xdr:row>
      <xdr:rowOff>178986</xdr:rowOff>
    </xdr:from>
    <xdr:to>
      <xdr:col>26</xdr:col>
      <xdr:colOff>371470</xdr:colOff>
      <xdr:row>53</xdr:row>
      <xdr:rowOff>142936</xdr:rowOff>
    </xdr:to>
    <xdr:sp macro="" textlink="">
      <xdr:nvSpPr>
        <xdr:cNvPr id="6232" name="Rectangle 148">
          <a:extLst>
            <a:ext uri="{FF2B5EF4-FFF2-40B4-BE49-F238E27FC236}">
              <a16:creationId xmlns:a16="http://schemas.microsoft.com/office/drawing/2014/main" id="{5D33498A-A18E-4C05-9D7F-75B6D04CAA72}"/>
            </a:ext>
          </a:extLst>
        </xdr:cNvPr>
        <xdr:cNvSpPr/>
      </xdr:nvSpPr>
      <xdr:spPr>
        <a:xfrm rot="16200000">
          <a:off x="15382057" y="8781299"/>
          <a:ext cx="123077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26</xdr:col>
      <xdr:colOff>571791</xdr:colOff>
      <xdr:row>46</xdr:row>
      <xdr:rowOff>172638</xdr:rowOff>
    </xdr:from>
    <xdr:to>
      <xdr:col>27</xdr:col>
      <xdr:colOff>200216</xdr:colOff>
      <xdr:row>53</xdr:row>
      <xdr:rowOff>97413</xdr:rowOff>
    </xdr:to>
    <xdr:sp macro="" textlink="">
      <xdr:nvSpPr>
        <xdr:cNvPr id="6235" name="Rectangle 149">
          <a:extLst>
            <a:ext uri="{FF2B5EF4-FFF2-40B4-BE49-F238E27FC236}">
              <a16:creationId xmlns:a16="http://schemas.microsoft.com/office/drawing/2014/main" id="{17917863-308E-4270-9025-FE54A1C46FE6}"/>
            </a:ext>
          </a:extLst>
        </xdr:cNvPr>
        <xdr:cNvSpPr/>
      </xdr:nvSpPr>
      <xdr:spPr>
        <a:xfrm rot="16200000">
          <a:off x="15944604" y="8859975"/>
          <a:ext cx="1191600" cy="23802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27</xdr:col>
      <xdr:colOff>552452</xdr:colOff>
      <xdr:row>46</xdr:row>
      <xdr:rowOff>172638</xdr:rowOff>
    </xdr:from>
    <xdr:to>
      <xdr:col>28</xdr:col>
      <xdr:colOff>352427</xdr:colOff>
      <xdr:row>53</xdr:row>
      <xdr:rowOff>130238</xdr:rowOff>
    </xdr:to>
    <xdr:sp macro="" textlink="">
      <xdr:nvSpPr>
        <xdr:cNvPr id="6236" name="Rectangle 150">
          <a:extLst>
            <a:ext uri="{FF2B5EF4-FFF2-40B4-BE49-F238E27FC236}">
              <a16:creationId xmlns:a16="http://schemas.microsoft.com/office/drawing/2014/main" id="{647F7AF5-7773-4C48-98CE-A8BD145C7B3F}"/>
            </a:ext>
          </a:extLst>
        </xdr:cNvPr>
        <xdr:cNvSpPr/>
      </xdr:nvSpPr>
      <xdr:spPr>
        <a:xfrm rot="16200000">
          <a:off x="16604227" y="8971588"/>
          <a:ext cx="1224425" cy="40957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28</xdr:col>
      <xdr:colOff>545515</xdr:colOff>
      <xdr:row>46</xdr:row>
      <xdr:rowOff>172637</xdr:rowOff>
    </xdr:from>
    <xdr:to>
      <xdr:col>29</xdr:col>
      <xdr:colOff>383165</xdr:colOff>
      <xdr:row>53</xdr:row>
      <xdr:rowOff>130237</xdr:rowOff>
    </xdr:to>
    <xdr:sp macro="" textlink="">
      <xdr:nvSpPr>
        <xdr:cNvPr id="6237" name="Rectangle 151">
          <a:extLst>
            <a:ext uri="{FF2B5EF4-FFF2-40B4-BE49-F238E27FC236}">
              <a16:creationId xmlns:a16="http://schemas.microsoft.com/office/drawing/2014/main" id="{B2813229-F055-45A4-9C48-B3B4BA3D5B05}"/>
            </a:ext>
          </a:extLst>
        </xdr:cNvPr>
        <xdr:cNvSpPr/>
      </xdr:nvSpPr>
      <xdr:spPr>
        <a:xfrm rot="16200000">
          <a:off x="17225727" y="8771775"/>
          <a:ext cx="122442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29</xdr:col>
      <xdr:colOff>571921</xdr:colOff>
      <xdr:row>46</xdr:row>
      <xdr:rowOff>172637</xdr:rowOff>
    </xdr:from>
    <xdr:to>
      <xdr:col>30</xdr:col>
      <xdr:colOff>409571</xdr:colOff>
      <xdr:row>53</xdr:row>
      <xdr:rowOff>130237</xdr:rowOff>
    </xdr:to>
    <xdr:sp macro="" textlink="">
      <xdr:nvSpPr>
        <xdr:cNvPr id="6238" name="Rectangle 152">
          <a:extLst>
            <a:ext uri="{FF2B5EF4-FFF2-40B4-BE49-F238E27FC236}">
              <a16:creationId xmlns:a16="http://schemas.microsoft.com/office/drawing/2014/main" id="{80B6210C-0F37-4EC1-BA97-6A37CD1388A5}"/>
            </a:ext>
          </a:extLst>
        </xdr:cNvPr>
        <xdr:cNvSpPr/>
      </xdr:nvSpPr>
      <xdr:spPr>
        <a:xfrm rot="16200000">
          <a:off x="17861733" y="8771775"/>
          <a:ext cx="122442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14</xdr:col>
      <xdr:colOff>333374</xdr:colOff>
      <xdr:row>49</xdr:row>
      <xdr:rowOff>69848</xdr:rowOff>
    </xdr:from>
    <xdr:to>
      <xdr:col>15</xdr:col>
      <xdr:colOff>65858</xdr:colOff>
      <xdr:row>50</xdr:row>
      <xdr:rowOff>107580</xdr:rowOff>
    </xdr:to>
    <xdr:sp macro="" textlink="">
      <xdr:nvSpPr>
        <xdr:cNvPr id="6348" name="Rectangle 153">
          <a:extLst>
            <a:ext uri="{FF2B5EF4-FFF2-40B4-BE49-F238E27FC236}">
              <a16:creationId xmlns:a16="http://schemas.microsoft.com/office/drawing/2014/main" id="{38448F37-011E-4565-8A23-3A9CC43C6123}"/>
            </a:ext>
          </a:extLst>
        </xdr:cNvPr>
        <xdr:cNvSpPr/>
      </xdr:nvSpPr>
      <xdr:spPr>
        <a:xfrm>
          <a:off x="8867774" y="882332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15</xdr:col>
      <xdr:colOff>384174</xdr:colOff>
      <xdr:row>49</xdr:row>
      <xdr:rowOff>38098</xdr:rowOff>
    </xdr:from>
    <xdr:to>
      <xdr:col>16</xdr:col>
      <xdr:colOff>116658</xdr:colOff>
      <xdr:row>50</xdr:row>
      <xdr:rowOff>75830</xdr:rowOff>
    </xdr:to>
    <xdr:sp macro="" textlink="">
      <xdr:nvSpPr>
        <xdr:cNvPr id="6351" name="Rectangle 154">
          <a:extLst>
            <a:ext uri="{FF2B5EF4-FFF2-40B4-BE49-F238E27FC236}">
              <a16:creationId xmlns:a16="http://schemas.microsoft.com/office/drawing/2014/main" id="{2F7611C6-8930-469A-82EF-9C6F64D8CC54}"/>
            </a:ext>
          </a:extLst>
        </xdr:cNvPr>
        <xdr:cNvSpPr/>
      </xdr:nvSpPr>
      <xdr:spPr>
        <a:xfrm>
          <a:off x="9528174" y="879157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16</xdr:col>
      <xdr:colOff>488949</xdr:colOff>
      <xdr:row>49</xdr:row>
      <xdr:rowOff>31748</xdr:rowOff>
    </xdr:from>
    <xdr:to>
      <xdr:col>17</xdr:col>
      <xdr:colOff>221433</xdr:colOff>
      <xdr:row>50</xdr:row>
      <xdr:rowOff>69480</xdr:rowOff>
    </xdr:to>
    <xdr:sp macro="" textlink="">
      <xdr:nvSpPr>
        <xdr:cNvPr id="6354" name="Rectangle 155">
          <a:extLst>
            <a:ext uri="{FF2B5EF4-FFF2-40B4-BE49-F238E27FC236}">
              <a16:creationId xmlns:a16="http://schemas.microsoft.com/office/drawing/2014/main" id="{EBAE5F18-3DF9-4230-BD86-7574E89559F1}"/>
            </a:ext>
          </a:extLst>
        </xdr:cNvPr>
        <xdr:cNvSpPr/>
      </xdr:nvSpPr>
      <xdr:spPr>
        <a:xfrm>
          <a:off x="10242549" y="878522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19</xdr:col>
      <xdr:colOff>9524</xdr:colOff>
      <xdr:row>49</xdr:row>
      <xdr:rowOff>19048</xdr:rowOff>
    </xdr:from>
    <xdr:to>
      <xdr:col>19</xdr:col>
      <xdr:colOff>351608</xdr:colOff>
      <xdr:row>50</xdr:row>
      <xdr:rowOff>56780</xdr:rowOff>
    </xdr:to>
    <xdr:sp macro="" textlink="">
      <xdr:nvSpPr>
        <xdr:cNvPr id="6357" name="Rectangle 156">
          <a:extLst>
            <a:ext uri="{FF2B5EF4-FFF2-40B4-BE49-F238E27FC236}">
              <a16:creationId xmlns:a16="http://schemas.microsoft.com/office/drawing/2014/main" id="{C3E16CC0-1AA9-40B1-B126-4F805695B2D0}"/>
            </a:ext>
          </a:extLst>
        </xdr:cNvPr>
        <xdr:cNvSpPr/>
      </xdr:nvSpPr>
      <xdr:spPr>
        <a:xfrm>
          <a:off x="11591924" y="877252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20</xdr:col>
      <xdr:colOff>12699</xdr:colOff>
      <xdr:row>49</xdr:row>
      <xdr:rowOff>28573</xdr:rowOff>
    </xdr:from>
    <xdr:to>
      <xdr:col>20</xdr:col>
      <xdr:colOff>354783</xdr:colOff>
      <xdr:row>50</xdr:row>
      <xdr:rowOff>66305</xdr:rowOff>
    </xdr:to>
    <xdr:sp macro="" textlink="">
      <xdr:nvSpPr>
        <xdr:cNvPr id="6363" name="Rectangle 157">
          <a:extLst>
            <a:ext uri="{FF2B5EF4-FFF2-40B4-BE49-F238E27FC236}">
              <a16:creationId xmlns:a16="http://schemas.microsoft.com/office/drawing/2014/main" id="{3A17F92F-5FF9-4FEB-964D-43C00294FFE6}"/>
            </a:ext>
          </a:extLst>
        </xdr:cNvPr>
        <xdr:cNvSpPr/>
      </xdr:nvSpPr>
      <xdr:spPr>
        <a:xfrm>
          <a:off x="12204699" y="8782048"/>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21</xdr:col>
      <xdr:colOff>95249</xdr:colOff>
      <xdr:row>49</xdr:row>
      <xdr:rowOff>12698</xdr:rowOff>
    </xdr:from>
    <xdr:to>
      <xdr:col>21</xdr:col>
      <xdr:colOff>437333</xdr:colOff>
      <xdr:row>50</xdr:row>
      <xdr:rowOff>50430</xdr:rowOff>
    </xdr:to>
    <xdr:sp macro="" textlink="">
      <xdr:nvSpPr>
        <xdr:cNvPr id="6366" name="Rectangle 159">
          <a:extLst>
            <a:ext uri="{FF2B5EF4-FFF2-40B4-BE49-F238E27FC236}">
              <a16:creationId xmlns:a16="http://schemas.microsoft.com/office/drawing/2014/main" id="{1743B89F-A0A4-4817-B29D-CC0220853745}"/>
            </a:ext>
          </a:extLst>
        </xdr:cNvPr>
        <xdr:cNvSpPr/>
      </xdr:nvSpPr>
      <xdr:spPr>
        <a:xfrm>
          <a:off x="12896849" y="876617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23</xdr:col>
      <xdr:colOff>152399</xdr:colOff>
      <xdr:row>49</xdr:row>
      <xdr:rowOff>9523</xdr:rowOff>
    </xdr:from>
    <xdr:to>
      <xdr:col>23</xdr:col>
      <xdr:colOff>494483</xdr:colOff>
      <xdr:row>50</xdr:row>
      <xdr:rowOff>47255</xdr:rowOff>
    </xdr:to>
    <xdr:sp macro="" textlink="">
      <xdr:nvSpPr>
        <xdr:cNvPr id="6369" name="Rectangle 160">
          <a:extLst>
            <a:ext uri="{FF2B5EF4-FFF2-40B4-BE49-F238E27FC236}">
              <a16:creationId xmlns:a16="http://schemas.microsoft.com/office/drawing/2014/main" id="{BAB7C82F-2BFD-4058-BC54-A8B9A5C0FE0E}"/>
            </a:ext>
          </a:extLst>
        </xdr:cNvPr>
        <xdr:cNvSpPr/>
      </xdr:nvSpPr>
      <xdr:spPr>
        <a:xfrm>
          <a:off x="14173199" y="8762998"/>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24</xdr:col>
      <xdr:colOff>219074</xdr:colOff>
      <xdr:row>49</xdr:row>
      <xdr:rowOff>3173</xdr:rowOff>
    </xdr:from>
    <xdr:to>
      <xdr:col>24</xdr:col>
      <xdr:colOff>561158</xdr:colOff>
      <xdr:row>50</xdr:row>
      <xdr:rowOff>40905</xdr:rowOff>
    </xdr:to>
    <xdr:sp macro="" textlink="">
      <xdr:nvSpPr>
        <xdr:cNvPr id="6372" name="Rectangle 161">
          <a:extLst>
            <a:ext uri="{FF2B5EF4-FFF2-40B4-BE49-F238E27FC236}">
              <a16:creationId xmlns:a16="http://schemas.microsoft.com/office/drawing/2014/main" id="{9A51A4DE-2919-46E3-8C50-DD7750E50C0B}"/>
            </a:ext>
          </a:extLst>
        </xdr:cNvPr>
        <xdr:cNvSpPr/>
      </xdr:nvSpPr>
      <xdr:spPr>
        <a:xfrm>
          <a:off x="14849474" y="8756648"/>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25</xdr:col>
      <xdr:colOff>288924</xdr:colOff>
      <xdr:row>49</xdr:row>
      <xdr:rowOff>3173</xdr:rowOff>
    </xdr:from>
    <xdr:to>
      <xdr:col>26</xdr:col>
      <xdr:colOff>21408</xdr:colOff>
      <xdr:row>50</xdr:row>
      <xdr:rowOff>40905</xdr:rowOff>
    </xdr:to>
    <xdr:sp macro="" textlink="">
      <xdr:nvSpPr>
        <xdr:cNvPr id="6375" name="Rectangle 162">
          <a:extLst>
            <a:ext uri="{FF2B5EF4-FFF2-40B4-BE49-F238E27FC236}">
              <a16:creationId xmlns:a16="http://schemas.microsoft.com/office/drawing/2014/main" id="{72F7ED32-465A-4B18-9C00-5CC26A327B6A}"/>
            </a:ext>
          </a:extLst>
        </xdr:cNvPr>
        <xdr:cNvSpPr/>
      </xdr:nvSpPr>
      <xdr:spPr>
        <a:xfrm>
          <a:off x="15528924" y="8756648"/>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27</xdr:col>
      <xdr:colOff>241299</xdr:colOff>
      <xdr:row>49</xdr:row>
      <xdr:rowOff>22223</xdr:rowOff>
    </xdr:from>
    <xdr:to>
      <xdr:col>27</xdr:col>
      <xdr:colOff>583383</xdr:colOff>
      <xdr:row>50</xdr:row>
      <xdr:rowOff>56780</xdr:rowOff>
    </xdr:to>
    <xdr:sp macro="" textlink="">
      <xdr:nvSpPr>
        <xdr:cNvPr id="6378" name="Rectangle 163">
          <a:extLst>
            <a:ext uri="{FF2B5EF4-FFF2-40B4-BE49-F238E27FC236}">
              <a16:creationId xmlns:a16="http://schemas.microsoft.com/office/drawing/2014/main" id="{F13DC197-ED64-46FF-A6FA-AC4ACEB3504F}"/>
            </a:ext>
          </a:extLst>
        </xdr:cNvPr>
        <xdr:cNvSpPr/>
      </xdr:nvSpPr>
      <xdr:spPr>
        <a:xfrm>
          <a:off x="16700499" y="8775698"/>
          <a:ext cx="342084" cy="2155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28</xdr:col>
      <xdr:colOff>247649</xdr:colOff>
      <xdr:row>49</xdr:row>
      <xdr:rowOff>12698</xdr:rowOff>
    </xdr:from>
    <xdr:to>
      <xdr:col>28</xdr:col>
      <xdr:colOff>589733</xdr:colOff>
      <xdr:row>50</xdr:row>
      <xdr:rowOff>50430</xdr:rowOff>
    </xdr:to>
    <xdr:sp macro="" textlink="">
      <xdr:nvSpPr>
        <xdr:cNvPr id="6381" name="Rectangle 164">
          <a:extLst>
            <a:ext uri="{FF2B5EF4-FFF2-40B4-BE49-F238E27FC236}">
              <a16:creationId xmlns:a16="http://schemas.microsoft.com/office/drawing/2014/main" id="{C7856B3B-B12F-42BF-897C-27645072D5EC}"/>
            </a:ext>
          </a:extLst>
        </xdr:cNvPr>
        <xdr:cNvSpPr/>
      </xdr:nvSpPr>
      <xdr:spPr>
        <a:xfrm>
          <a:off x="17316449" y="876617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29</xdr:col>
      <xdr:colOff>314324</xdr:colOff>
      <xdr:row>48</xdr:row>
      <xdr:rowOff>180973</xdr:rowOff>
    </xdr:from>
    <xdr:to>
      <xdr:col>30</xdr:col>
      <xdr:colOff>46808</xdr:colOff>
      <xdr:row>50</xdr:row>
      <xdr:rowOff>37730</xdr:rowOff>
    </xdr:to>
    <xdr:sp macro="" textlink="">
      <xdr:nvSpPr>
        <xdr:cNvPr id="6382" name="Rectangle 165">
          <a:extLst>
            <a:ext uri="{FF2B5EF4-FFF2-40B4-BE49-F238E27FC236}">
              <a16:creationId xmlns:a16="http://schemas.microsoft.com/office/drawing/2014/main" id="{477D6D0E-9B66-4EE1-9298-42730AA6122D}"/>
            </a:ext>
          </a:extLst>
        </xdr:cNvPr>
        <xdr:cNvSpPr/>
      </xdr:nvSpPr>
      <xdr:spPr>
        <a:xfrm>
          <a:off x="17992724" y="875347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14</xdr:col>
      <xdr:colOff>38099</xdr:colOff>
      <xdr:row>53</xdr:row>
      <xdr:rowOff>173649</xdr:rowOff>
    </xdr:from>
    <xdr:to>
      <xdr:col>17</xdr:col>
      <xdr:colOff>588899</xdr:colOff>
      <xdr:row>55</xdr:row>
      <xdr:rowOff>76199</xdr:rowOff>
    </xdr:to>
    <xdr:sp macro="" textlink="">
      <xdr:nvSpPr>
        <xdr:cNvPr id="6440" name="Right Brace 167">
          <a:extLst>
            <a:ext uri="{FF2B5EF4-FFF2-40B4-BE49-F238E27FC236}">
              <a16:creationId xmlns:a16="http://schemas.microsoft.com/office/drawing/2014/main" id="{B8ABE2CB-5AE1-4190-8CC3-500D59E57A40}"/>
            </a:ext>
          </a:extLst>
        </xdr:cNvPr>
        <xdr:cNvSpPr/>
      </xdr:nvSpPr>
      <xdr:spPr>
        <a:xfrm rot="16200000" flipV="1">
          <a:off x="9630049" y="8593474"/>
          <a:ext cx="264500"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18</xdr:col>
      <xdr:colOff>323849</xdr:colOff>
      <xdr:row>53</xdr:row>
      <xdr:rowOff>179999</xdr:rowOff>
    </xdr:from>
    <xdr:to>
      <xdr:col>22</xdr:col>
      <xdr:colOff>265049</xdr:colOff>
      <xdr:row>55</xdr:row>
      <xdr:rowOff>88899</xdr:rowOff>
    </xdr:to>
    <xdr:sp macro="" textlink="">
      <xdr:nvSpPr>
        <xdr:cNvPr id="6443" name="Right Brace 168">
          <a:extLst>
            <a:ext uri="{FF2B5EF4-FFF2-40B4-BE49-F238E27FC236}">
              <a16:creationId xmlns:a16="http://schemas.microsoft.com/office/drawing/2014/main" id="{3ADAFD78-B28D-4A22-B9BF-2DCFD59F0C49}"/>
            </a:ext>
          </a:extLst>
        </xdr:cNvPr>
        <xdr:cNvSpPr/>
      </xdr:nvSpPr>
      <xdr:spPr>
        <a:xfrm rot="16200000" flipV="1">
          <a:off x="12351024" y="8602999"/>
          <a:ext cx="270850"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22</xdr:col>
      <xdr:colOff>504824</xdr:colOff>
      <xdr:row>53</xdr:row>
      <xdr:rowOff>173649</xdr:rowOff>
    </xdr:from>
    <xdr:to>
      <xdr:col>26</xdr:col>
      <xdr:colOff>446024</xdr:colOff>
      <xdr:row>55</xdr:row>
      <xdr:rowOff>76199</xdr:rowOff>
    </xdr:to>
    <xdr:sp macro="" textlink="">
      <xdr:nvSpPr>
        <xdr:cNvPr id="6446" name="Right Brace 169">
          <a:extLst>
            <a:ext uri="{FF2B5EF4-FFF2-40B4-BE49-F238E27FC236}">
              <a16:creationId xmlns:a16="http://schemas.microsoft.com/office/drawing/2014/main" id="{19F29A92-A06E-4F54-83F3-3CFF35327F62}"/>
            </a:ext>
          </a:extLst>
        </xdr:cNvPr>
        <xdr:cNvSpPr/>
      </xdr:nvSpPr>
      <xdr:spPr>
        <a:xfrm rot="16200000" flipV="1">
          <a:off x="14973574" y="8593474"/>
          <a:ext cx="264500"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27</xdr:col>
      <xdr:colOff>41274</xdr:colOff>
      <xdr:row>53</xdr:row>
      <xdr:rowOff>173649</xdr:rowOff>
    </xdr:from>
    <xdr:to>
      <xdr:col>30</xdr:col>
      <xdr:colOff>592074</xdr:colOff>
      <xdr:row>55</xdr:row>
      <xdr:rowOff>76199</xdr:rowOff>
    </xdr:to>
    <xdr:sp macro="" textlink="">
      <xdr:nvSpPr>
        <xdr:cNvPr id="6447" name="Right Brace 170">
          <a:extLst>
            <a:ext uri="{FF2B5EF4-FFF2-40B4-BE49-F238E27FC236}">
              <a16:creationId xmlns:a16="http://schemas.microsoft.com/office/drawing/2014/main" id="{2C999773-1A5F-4095-8587-3099159CDAB4}"/>
            </a:ext>
          </a:extLst>
        </xdr:cNvPr>
        <xdr:cNvSpPr/>
      </xdr:nvSpPr>
      <xdr:spPr>
        <a:xfrm rot="16200000" flipV="1">
          <a:off x="17558024" y="8593474"/>
          <a:ext cx="264500"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14</xdr:col>
      <xdr:colOff>85724</xdr:colOff>
      <xdr:row>55</xdr:row>
      <xdr:rowOff>76198</xdr:rowOff>
    </xdr:from>
    <xdr:to>
      <xdr:col>17</xdr:col>
      <xdr:colOff>448855</xdr:colOff>
      <xdr:row>57</xdr:row>
      <xdr:rowOff>150856</xdr:rowOff>
    </xdr:to>
    <xdr:sp macro="" textlink="">
      <xdr:nvSpPr>
        <xdr:cNvPr id="6578" name="Rectangle 171">
          <a:extLst>
            <a:ext uri="{FF2B5EF4-FFF2-40B4-BE49-F238E27FC236}">
              <a16:creationId xmlns:a16="http://schemas.microsoft.com/office/drawing/2014/main" id="{A26F2E9E-2DEB-46BF-AE46-E427D99F7345}"/>
            </a:ext>
          </a:extLst>
        </xdr:cNvPr>
        <xdr:cNvSpPr/>
      </xdr:nvSpPr>
      <xdr:spPr>
        <a:xfrm>
          <a:off x="8620124" y="9915523"/>
          <a:ext cx="2191931" cy="43660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18</xdr:col>
      <xdr:colOff>419099</xdr:colOff>
      <xdr:row>55</xdr:row>
      <xdr:rowOff>76198</xdr:rowOff>
    </xdr:from>
    <xdr:to>
      <xdr:col>22</xdr:col>
      <xdr:colOff>172630</xdr:colOff>
      <xdr:row>57</xdr:row>
      <xdr:rowOff>150856</xdr:rowOff>
    </xdr:to>
    <xdr:sp macro="" textlink="">
      <xdr:nvSpPr>
        <xdr:cNvPr id="6577" name="Rectangle 172">
          <a:extLst>
            <a:ext uri="{FF2B5EF4-FFF2-40B4-BE49-F238E27FC236}">
              <a16:creationId xmlns:a16="http://schemas.microsoft.com/office/drawing/2014/main" id="{F01FCFA1-DFDF-4036-9096-8EA13A0EFFC1}"/>
            </a:ext>
          </a:extLst>
        </xdr:cNvPr>
        <xdr:cNvSpPr/>
      </xdr:nvSpPr>
      <xdr:spPr>
        <a:xfrm>
          <a:off x="11391899" y="9915523"/>
          <a:ext cx="2191931" cy="43660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23</xdr:col>
      <xdr:colOff>0</xdr:colOff>
      <xdr:row>55</xdr:row>
      <xdr:rowOff>76198</xdr:rowOff>
    </xdr:from>
    <xdr:to>
      <xdr:col>26</xdr:col>
      <xdr:colOff>363131</xdr:colOff>
      <xdr:row>57</xdr:row>
      <xdr:rowOff>150856</xdr:rowOff>
    </xdr:to>
    <xdr:sp macro="" textlink="">
      <xdr:nvSpPr>
        <xdr:cNvPr id="6576" name="Rectangle 173">
          <a:extLst>
            <a:ext uri="{FF2B5EF4-FFF2-40B4-BE49-F238E27FC236}">
              <a16:creationId xmlns:a16="http://schemas.microsoft.com/office/drawing/2014/main" id="{D80E76DB-30C2-4E11-A070-B32161C4012F}"/>
            </a:ext>
          </a:extLst>
        </xdr:cNvPr>
        <xdr:cNvSpPr/>
      </xdr:nvSpPr>
      <xdr:spPr>
        <a:xfrm>
          <a:off x="14020800" y="9915523"/>
          <a:ext cx="2191931" cy="43660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27</xdr:col>
      <xdr:colOff>123825</xdr:colOff>
      <xdr:row>55</xdr:row>
      <xdr:rowOff>76198</xdr:rowOff>
    </xdr:from>
    <xdr:to>
      <xdr:col>30</xdr:col>
      <xdr:colOff>486956</xdr:colOff>
      <xdr:row>57</xdr:row>
      <xdr:rowOff>150856</xdr:rowOff>
    </xdr:to>
    <xdr:sp macro="" textlink="">
      <xdr:nvSpPr>
        <xdr:cNvPr id="6590" name="Rectangle 174">
          <a:extLst>
            <a:ext uri="{FF2B5EF4-FFF2-40B4-BE49-F238E27FC236}">
              <a16:creationId xmlns:a16="http://schemas.microsoft.com/office/drawing/2014/main" id="{C3E66143-F67E-4E8E-BBDE-F8BBC4E98FD0}"/>
            </a:ext>
          </a:extLst>
        </xdr:cNvPr>
        <xdr:cNvSpPr/>
      </xdr:nvSpPr>
      <xdr:spPr>
        <a:xfrm>
          <a:off x="16583025" y="9915523"/>
          <a:ext cx="2191931" cy="43660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26</xdr:col>
      <xdr:colOff>429048</xdr:colOff>
      <xdr:row>30</xdr:row>
      <xdr:rowOff>97582</xdr:rowOff>
    </xdr:from>
    <xdr:to>
      <xdr:col>30</xdr:col>
      <xdr:colOff>160240</xdr:colOff>
      <xdr:row>33</xdr:row>
      <xdr:rowOff>23159</xdr:rowOff>
    </xdr:to>
    <xdr:sp macro="" textlink="">
      <xdr:nvSpPr>
        <xdr:cNvPr id="6458" name="TextBox 52">
          <a:extLst>
            <a:ext uri="{FF2B5EF4-FFF2-40B4-BE49-F238E27FC236}">
              <a16:creationId xmlns:a16="http://schemas.microsoft.com/office/drawing/2014/main" id="{8F010B29-2211-412E-A45E-2DB5FB3BDF98}"/>
            </a:ext>
          </a:extLst>
        </xdr:cNvPr>
        <xdr:cNvSpPr txBox="1"/>
      </xdr:nvSpPr>
      <xdr:spPr>
        <a:xfrm>
          <a:off x="16240548" y="5532435"/>
          <a:ext cx="2151663" cy="4746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Pathway is likely</a:t>
          </a:r>
          <a:r>
            <a:rPr lang="en-GB" sz="1100" baseline="0"/>
            <a:t> to be </a:t>
          </a:r>
          <a:r>
            <a:rPr lang="en-GB" sz="1100"/>
            <a:t>compliant</a:t>
          </a:r>
          <a:r>
            <a:rPr lang="en-GB" sz="1100" baseline="0"/>
            <a:t> with the GHG emissions threshold.</a:t>
          </a:r>
          <a:endParaRPr lang="en-GB" sz="1100"/>
        </a:p>
      </xdr:txBody>
    </xdr:sp>
    <xdr:clientData/>
  </xdr:twoCellAnchor>
  <xdr:twoCellAnchor>
    <xdr:from>
      <xdr:col>9</xdr:col>
      <xdr:colOff>144</xdr:colOff>
      <xdr:row>29</xdr:row>
      <xdr:rowOff>134818</xdr:rowOff>
    </xdr:from>
    <xdr:to>
      <xdr:col>12</xdr:col>
      <xdr:colOff>294528</xdr:colOff>
      <xdr:row>31</xdr:row>
      <xdr:rowOff>78441</xdr:rowOff>
    </xdr:to>
    <xdr:sp macro="" textlink="">
      <xdr:nvSpPr>
        <xdr:cNvPr id="165" name="TextBox 54">
          <a:extLst>
            <a:ext uri="{FF2B5EF4-FFF2-40B4-BE49-F238E27FC236}">
              <a16:creationId xmlns:a16="http://schemas.microsoft.com/office/drawing/2014/main" id="{BA6A9B9D-8540-4B85-9E4E-38C5E13465E0}"/>
            </a:ext>
          </a:extLst>
        </xdr:cNvPr>
        <xdr:cNvSpPr txBox="1"/>
      </xdr:nvSpPr>
      <xdr:spPr>
        <a:xfrm>
          <a:off x="5524644" y="5390377"/>
          <a:ext cx="2109737" cy="30221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Pathway cumulative efficiency.</a:t>
          </a:r>
        </a:p>
      </xdr:txBody>
    </xdr:sp>
    <xdr:clientData/>
  </xdr:twoCellAnchor>
  <xdr:twoCellAnchor>
    <xdr:from>
      <xdr:col>9</xdr:col>
      <xdr:colOff>360924</xdr:colOff>
      <xdr:row>27</xdr:row>
      <xdr:rowOff>119515</xdr:rowOff>
    </xdr:from>
    <xdr:to>
      <xdr:col>11</xdr:col>
      <xdr:colOff>138079</xdr:colOff>
      <xdr:row>29</xdr:row>
      <xdr:rowOff>36171</xdr:rowOff>
    </xdr:to>
    <xdr:sp macro="" textlink="">
      <xdr:nvSpPr>
        <xdr:cNvPr id="171" name="Rectangle 53">
          <a:extLst>
            <a:ext uri="{FF2B5EF4-FFF2-40B4-BE49-F238E27FC236}">
              <a16:creationId xmlns:a16="http://schemas.microsoft.com/office/drawing/2014/main" id="{EBACE01B-1BD7-4948-8A34-D475CBEDCDB6}"/>
            </a:ext>
          </a:extLst>
        </xdr:cNvPr>
        <xdr:cNvSpPr/>
      </xdr:nvSpPr>
      <xdr:spPr>
        <a:xfrm>
          <a:off x="5910824" y="4983615"/>
          <a:ext cx="996355" cy="27225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33369</xdr:colOff>
      <xdr:row>10</xdr:row>
      <xdr:rowOff>165100</xdr:rowOff>
    </xdr:from>
    <xdr:to>
      <xdr:col>9</xdr:col>
      <xdr:colOff>386848</xdr:colOff>
      <xdr:row>27</xdr:row>
      <xdr:rowOff>44823</xdr:rowOff>
    </xdr:to>
    <xdr:sp macro="" textlink="">
      <xdr:nvSpPr>
        <xdr:cNvPr id="6756" name="Rectangle 80">
          <a:extLst>
            <a:ext uri="{FF2B5EF4-FFF2-40B4-BE49-F238E27FC236}">
              <a16:creationId xmlns:a16="http://schemas.microsoft.com/office/drawing/2014/main" id="{02F28B66-C5B4-4BFE-B0FB-A57D070CD917}"/>
            </a:ext>
          </a:extLst>
        </xdr:cNvPr>
        <xdr:cNvSpPr/>
      </xdr:nvSpPr>
      <xdr:spPr>
        <a:xfrm>
          <a:off x="4364069" y="2006600"/>
          <a:ext cx="1572679" cy="290232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108209</xdr:colOff>
      <xdr:row>11</xdr:row>
      <xdr:rowOff>26919</xdr:rowOff>
    </xdr:from>
    <xdr:to>
      <xdr:col>8</xdr:col>
      <xdr:colOff>356015</xdr:colOff>
      <xdr:row>12</xdr:row>
      <xdr:rowOff>9936</xdr:rowOff>
    </xdr:to>
    <xdr:sp macro="" textlink="">
      <xdr:nvSpPr>
        <xdr:cNvPr id="150" name="Rectangle 81">
          <a:extLst>
            <a:ext uri="{FF2B5EF4-FFF2-40B4-BE49-F238E27FC236}">
              <a16:creationId xmlns:a16="http://schemas.microsoft.com/office/drawing/2014/main" id="{3A8DEE95-F200-4F7B-B1AB-123C700FB885}"/>
            </a:ext>
          </a:extLst>
        </xdr:cNvPr>
        <xdr:cNvSpPr/>
      </xdr:nvSpPr>
      <xdr:spPr>
        <a:xfrm>
          <a:off x="5027591" y="2055184"/>
          <a:ext cx="247806" cy="1623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1</a:t>
          </a:r>
        </a:p>
      </xdr:txBody>
    </xdr:sp>
    <xdr:clientData/>
  </xdr:twoCellAnchor>
  <xdr:twoCellAnchor>
    <xdr:from>
      <xdr:col>14</xdr:col>
      <xdr:colOff>326605</xdr:colOff>
      <xdr:row>11</xdr:row>
      <xdr:rowOff>8055</xdr:rowOff>
    </xdr:from>
    <xdr:to>
      <xdr:col>14</xdr:col>
      <xdr:colOff>572075</xdr:colOff>
      <xdr:row>12</xdr:row>
      <xdr:rowOff>12450</xdr:rowOff>
    </xdr:to>
    <xdr:sp macro="" textlink="">
      <xdr:nvSpPr>
        <xdr:cNvPr id="133" name="Rectangle 83">
          <a:extLst>
            <a:ext uri="{FF2B5EF4-FFF2-40B4-BE49-F238E27FC236}">
              <a16:creationId xmlns:a16="http://schemas.microsoft.com/office/drawing/2014/main" id="{3176251D-E175-40B8-BA94-EEC848E0D542}"/>
            </a:ext>
          </a:extLst>
        </xdr:cNvPr>
        <xdr:cNvSpPr/>
      </xdr:nvSpPr>
      <xdr:spPr>
        <a:xfrm>
          <a:off x="8924505" y="2027355"/>
          <a:ext cx="245470" cy="1821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2</a:t>
          </a:r>
        </a:p>
      </xdr:txBody>
    </xdr:sp>
    <xdr:clientData/>
  </xdr:twoCellAnchor>
  <xdr:twoCellAnchor>
    <xdr:from>
      <xdr:col>21</xdr:col>
      <xdr:colOff>531637</xdr:colOff>
      <xdr:row>10</xdr:row>
      <xdr:rowOff>174650</xdr:rowOff>
    </xdr:from>
    <xdr:to>
      <xdr:col>22</xdr:col>
      <xdr:colOff>171725</xdr:colOff>
      <xdr:row>11</xdr:row>
      <xdr:rowOff>157667</xdr:rowOff>
    </xdr:to>
    <xdr:sp macro="" textlink="">
      <xdr:nvSpPr>
        <xdr:cNvPr id="134" name="Rectangle 109">
          <a:extLst>
            <a:ext uri="{FF2B5EF4-FFF2-40B4-BE49-F238E27FC236}">
              <a16:creationId xmlns:a16="http://schemas.microsoft.com/office/drawing/2014/main" id="{A056416D-9B8E-4310-A66B-7EC00BBE0A3D}"/>
            </a:ext>
          </a:extLst>
        </xdr:cNvPr>
        <xdr:cNvSpPr/>
      </xdr:nvSpPr>
      <xdr:spPr>
        <a:xfrm>
          <a:off x="13396737" y="2016150"/>
          <a:ext cx="249688" cy="160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3</a:t>
          </a:r>
        </a:p>
      </xdr:txBody>
    </xdr:sp>
    <xdr:clientData/>
  </xdr:twoCellAnchor>
  <xdr:twoCellAnchor>
    <xdr:from>
      <xdr:col>9</xdr:col>
      <xdr:colOff>406400</xdr:colOff>
      <xdr:row>10</xdr:row>
      <xdr:rowOff>162361</xdr:rowOff>
    </xdr:from>
    <xdr:to>
      <xdr:col>18</xdr:col>
      <xdr:colOff>444500</xdr:colOff>
      <xdr:row>25</xdr:row>
      <xdr:rowOff>110814</xdr:rowOff>
    </xdr:to>
    <xdr:sp macro="" textlink="">
      <xdr:nvSpPr>
        <xdr:cNvPr id="6742" name="Rectangle 80">
          <a:extLst>
            <a:ext uri="{FF2B5EF4-FFF2-40B4-BE49-F238E27FC236}">
              <a16:creationId xmlns:a16="http://schemas.microsoft.com/office/drawing/2014/main" id="{DBA384D5-5D2C-4824-8352-4B62AE754389}"/>
            </a:ext>
          </a:extLst>
        </xdr:cNvPr>
        <xdr:cNvSpPr/>
      </xdr:nvSpPr>
      <xdr:spPr>
        <a:xfrm>
          <a:off x="5956300" y="2003861"/>
          <a:ext cx="5524500" cy="261545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457200</xdr:colOff>
      <xdr:row>10</xdr:row>
      <xdr:rowOff>165101</xdr:rowOff>
    </xdr:from>
    <xdr:to>
      <xdr:col>25</xdr:col>
      <xdr:colOff>203629</xdr:colOff>
      <xdr:row>25</xdr:row>
      <xdr:rowOff>143187</xdr:rowOff>
    </xdr:to>
    <xdr:sp macro="" textlink="">
      <xdr:nvSpPr>
        <xdr:cNvPr id="6743" name="Rectangle 80">
          <a:extLst>
            <a:ext uri="{FF2B5EF4-FFF2-40B4-BE49-F238E27FC236}">
              <a16:creationId xmlns:a16="http://schemas.microsoft.com/office/drawing/2014/main" id="{46EBAEFE-1527-4503-AA61-8E36BE490B26}"/>
            </a:ext>
          </a:extLst>
        </xdr:cNvPr>
        <xdr:cNvSpPr/>
      </xdr:nvSpPr>
      <xdr:spPr>
        <a:xfrm>
          <a:off x="11493500" y="2006601"/>
          <a:ext cx="4013629" cy="264508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27</xdr:col>
      <xdr:colOff>103065</xdr:colOff>
      <xdr:row>27</xdr:row>
      <xdr:rowOff>112728</xdr:rowOff>
    </xdr:from>
    <xdr:to>
      <xdr:col>29</xdr:col>
      <xdr:colOff>200647</xdr:colOff>
      <xdr:row>30</xdr:row>
      <xdr:rowOff>59018</xdr:rowOff>
    </xdr:to>
    <xdr:sp macro="" textlink="">
      <xdr:nvSpPr>
        <xdr:cNvPr id="6723" name="Rectangle 53">
          <a:extLst>
            <a:ext uri="{FF2B5EF4-FFF2-40B4-BE49-F238E27FC236}">
              <a16:creationId xmlns:a16="http://schemas.microsoft.com/office/drawing/2014/main" id="{7AB2F1F3-4724-447B-AC7D-237DC7040D6D}"/>
            </a:ext>
          </a:extLst>
        </xdr:cNvPr>
        <xdr:cNvSpPr/>
      </xdr:nvSpPr>
      <xdr:spPr>
        <a:xfrm>
          <a:off x="16625765" y="4976828"/>
          <a:ext cx="1316782" cy="47969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515471</xdr:colOff>
      <xdr:row>67</xdr:row>
      <xdr:rowOff>1</xdr:rowOff>
    </xdr:from>
    <xdr:to>
      <xdr:col>23</xdr:col>
      <xdr:colOff>281695</xdr:colOff>
      <xdr:row>78</xdr:row>
      <xdr:rowOff>75926</xdr:rowOff>
    </xdr:to>
    <xdr:pic>
      <xdr:nvPicPr>
        <xdr:cNvPr id="166" name="Picture 165">
          <a:extLst>
            <a:ext uri="{FF2B5EF4-FFF2-40B4-BE49-F238E27FC236}">
              <a16:creationId xmlns:a16="http://schemas.microsoft.com/office/drawing/2014/main" id="{E2A6B40B-E53C-468C-BBE3-66DE8FF81ABE}"/>
            </a:ext>
          </a:extLst>
        </xdr:cNvPr>
        <xdr:cNvPicPr>
          <a:picLocks noChangeAspect="1"/>
        </xdr:cNvPicPr>
      </xdr:nvPicPr>
      <xdr:blipFill>
        <a:blip xmlns:r="http://schemas.openxmlformats.org/officeDocument/2006/relationships" r:embed="rId2"/>
        <a:stretch>
          <a:fillRect/>
        </a:stretch>
      </xdr:blipFill>
      <xdr:spPr>
        <a:xfrm>
          <a:off x="515471" y="12438530"/>
          <a:ext cx="13762371" cy="2048161"/>
        </a:xfrm>
        <a:prstGeom prst="rect">
          <a:avLst/>
        </a:prstGeom>
      </xdr:spPr>
    </xdr:pic>
    <xdr:clientData/>
  </xdr:twoCellAnchor>
  <xdr:twoCellAnchor editAs="oneCell">
    <xdr:from>
      <xdr:col>1</xdr:col>
      <xdr:colOff>372970</xdr:colOff>
      <xdr:row>80</xdr:row>
      <xdr:rowOff>59205</xdr:rowOff>
    </xdr:from>
    <xdr:to>
      <xdr:col>4</xdr:col>
      <xdr:colOff>8033</xdr:colOff>
      <xdr:row>94</xdr:row>
      <xdr:rowOff>153708</xdr:rowOff>
    </xdr:to>
    <xdr:pic>
      <xdr:nvPicPr>
        <xdr:cNvPr id="341" name="Picture 260">
          <a:extLst>
            <a:ext uri="{FF2B5EF4-FFF2-40B4-BE49-F238E27FC236}">
              <a16:creationId xmlns:a16="http://schemas.microsoft.com/office/drawing/2014/main" id="{31C707B2-0B42-410C-A6F8-AB5524237868}"/>
            </a:ext>
          </a:extLst>
        </xdr:cNvPr>
        <xdr:cNvPicPr>
          <a:picLocks noChangeAspect="1"/>
        </xdr:cNvPicPr>
      </xdr:nvPicPr>
      <xdr:blipFill rotWithShape="1">
        <a:blip xmlns:r="http://schemas.openxmlformats.org/officeDocument/2006/relationships" r:embed="rId3"/>
        <a:srcRect l="21727" t="2142" r="69272" b="14850"/>
        <a:stretch/>
      </xdr:blipFill>
      <xdr:spPr>
        <a:xfrm>
          <a:off x="978088" y="14828558"/>
          <a:ext cx="1525682" cy="2604621"/>
        </a:xfrm>
        <a:prstGeom prst="rect">
          <a:avLst/>
        </a:prstGeom>
      </xdr:spPr>
    </xdr:pic>
    <xdr:clientData/>
  </xdr:twoCellAnchor>
  <xdr:twoCellAnchor editAs="oneCell">
    <xdr:from>
      <xdr:col>6</xdr:col>
      <xdr:colOff>304050</xdr:colOff>
      <xdr:row>80</xdr:row>
      <xdr:rowOff>57523</xdr:rowOff>
    </xdr:from>
    <xdr:to>
      <xdr:col>8</xdr:col>
      <xdr:colOff>311708</xdr:colOff>
      <xdr:row>97</xdr:row>
      <xdr:rowOff>73281</xdr:rowOff>
    </xdr:to>
    <xdr:pic>
      <xdr:nvPicPr>
        <xdr:cNvPr id="343" name="Picture 260">
          <a:extLst>
            <a:ext uri="{FF2B5EF4-FFF2-40B4-BE49-F238E27FC236}">
              <a16:creationId xmlns:a16="http://schemas.microsoft.com/office/drawing/2014/main" id="{DB45319E-8D1C-4B05-98A7-0442A1564C9E}"/>
            </a:ext>
          </a:extLst>
        </xdr:cNvPr>
        <xdr:cNvPicPr>
          <a:picLocks noChangeAspect="1"/>
        </xdr:cNvPicPr>
      </xdr:nvPicPr>
      <xdr:blipFill rotWithShape="1">
        <a:blip xmlns:r="http://schemas.openxmlformats.org/officeDocument/2006/relationships" r:embed="rId3"/>
        <a:srcRect l="92628" t="2044"/>
        <a:stretch/>
      </xdr:blipFill>
      <xdr:spPr>
        <a:xfrm>
          <a:off x="3934756" y="14826876"/>
          <a:ext cx="1221068" cy="3063758"/>
        </a:xfrm>
        <a:prstGeom prst="rect">
          <a:avLst/>
        </a:prstGeom>
      </xdr:spPr>
    </xdr:pic>
    <xdr:clientData/>
  </xdr:twoCellAnchor>
  <xdr:twoCellAnchor editAs="oneCell">
    <xdr:from>
      <xdr:col>10</xdr:col>
      <xdr:colOff>353922</xdr:colOff>
      <xdr:row>80</xdr:row>
      <xdr:rowOff>59205</xdr:rowOff>
    </xdr:from>
    <xdr:to>
      <xdr:col>13</xdr:col>
      <xdr:colOff>76949</xdr:colOff>
      <xdr:row>95</xdr:row>
      <xdr:rowOff>27268</xdr:rowOff>
    </xdr:to>
    <xdr:pic>
      <xdr:nvPicPr>
        <xdr:cNvPr id="167" name="Picture 166">
          <a:extLst>
            <a:ext uri="{FF2B5EF4-FFF2-40B4-BE49-F238E27FC236}">
              <a16:creationId xmlns:a16="http://schemas.microsoft.com/office/drawing/2014/main" id="{98869316-979E-4B19-9584-80120B2C2CB2}"/>
            </a:ext>
          </a:extLst>
        </xdr:cNvPr>
        <xdr:cNvPicPr>
          <a:picLocks noChangeAspect="1"/>
        </xdr:cNvPicPr>
      </xdr:nvPicPr>
      <xdr:blipFill rotWithShape="1">
        <a:blip xmlns:r="http://schemas.openxmlformats.org/officeDocument/2006/relationships" r:embed="rId4"/>
        <a:srcRect l="21680" t="2210" r="69434" b="19385"/>
        <a:stretch/>
      </xdr:blipFill>
      <xdr:spPr>
        <a:xfrm>
          <a:off x="6405098" y="14828558"/>
          <a:ext cx="1538380" cy="2660650"/>
        </a:xfrm>
        <a:prstGeom prst="rect">
          <a:avLst/>
        </a:prstGeom>
      </xdr:spPr>
    </xdr:pic>
    <xdr:clientData/>
  </xdr:twoCellAnchor>
  <xdr:twoCellAnchor editAs="oneCell">
    <xdr:from>
      <xdr:col>15</xdr:col>
      <xdr:colOff>249896</xdr:colOff>
      <xdr:row>80</xdr:row>
      <xdr:rowOff>56030</xdr:rowOff>
    </xdr:from>
    <xdr:to>
      <xdr:col>17</xdr:col>
      <xdr:colOff>219456</xdr:colOff>
      <xdr:row>97</xdr:row>
      <xdr:rowOff>104028</xdr:rowOff>
    </xdr:to>
    <xdr:pic>
      <xdr:nvPicPr>
        <xdr:cNvPr id="345" name="Picture 344">
          <a:extLst>
            <a:ext uri="{FF2B5EF4-FFF2-40B4-BE49-F238E27FC236}">
              <a16:creationId xmlns:a16="http://schemas.microsoft.com/office/drawing/2014/main" id="{5C99A158-58FE-4C1C-BFAF-12C9C270EC0E}"/>
            </a:ext>
          </a:extLst>
        </xdr:cNvPr>
        <xdr:cNvPicPr>
          <a:picLocks noChangeAspect="1"/>
        </xdr:cNvPicPr>
      </xdr:nvPicPr>
      <xdr:blipFill rotWithShape="1">
        <a:blip xmlns:r="http://schemas.openxmlformats.org/officeDocument/2006/relationships" r:embed="rId4"/>
        <a:srcRect l="92020" t="2160" r="832" b="4112"/>
        <a:stretch/>
      </xdr:blipFill>
      <xdr:spPr>
        <a:xfrm>
          <a:off x="9326661" y="14825383"/>
          <a:ext cx="1182970" cy="3099173"/>
        </a:xfrm>
        <a:prstGeom prst="rect">
          <a:avLst/>
        </a:prstGeom>
      </xdr:spPr>
    </xdr:pic>
    <xdr:clientData/>
  </xdr:twoCellAnchor>
  <xdr:twoCellAnchor editAs="oneCell">
    <xdr:from>
      <xdr:col>0</xdr:col>
      <xdr:colOff>560295</xdr:colOff>
      <xdr:row>101</xdr:row>
      <xdr:rowOff>44824</xdr:rowOff>
    </xdr:from>
    <xdr:to>
      <xdr:col>9</xdr:col>
      <xdr:colOff>555439</xdr:colOff>
      <xdr:row>114</xdr:row>
      <xdr:rowOff>153708</xdr:rowOff>
    </xdr:to>
    <xdr:pic>
      <xdr:nvPicPr>
        <xdr:cNvPr id="346" name="Picture 260">
          <a:extLst>
            <a:ext uri="{FF2B5EF4-FFF2-40B4-BE49-F238E27FC236}">
              <a16:creationId xmlns:a16="http://schemas.microsoft.com/office/drawing/2014/main" id="{5EB6AECE-4E08-4294-B878-13E38C058054}"/>
            </a:ext>
          </a:extLst>
        </xdr:cNvPr>
        <xdr:cNvPicPr>
          <a:picLocks noChangeAspect="1"/>
        </xdr:cNvPicPr>
      </xdr:nvPicPr>
      <xdr:blipFill rotWithShape="1">
        <a:blip xmlns:r="http://schemas.openxmlformats.org/officeDocument/2006/relationships" r:embed="rId3"/>
        <a:srcRect l="30418" r="37177" b="22113"/>
        <a:stretch/>
      </xdr:blipFill>
      <xdr:spPr>
        <a:xfrm>
          <a:off x="560295" y="18635383"/>
          <a:ext cx="5522819" cy="2439707"/>
        </a:xfrm>
        <a:prstGeom prst="rect">
          <a:avLst/>
        </a:prstGeom>
      </xdr:spPr>
    </xdr:pic>
    <xdr:clientData/>
  </xdr:twoCellAnchor>
  <xdr:twoCellAnchor editAs="oneCell">
    <xdr:from>
      <xdr:col>0</xdr:col>
      <xdr:colOff>560295</xdr:colOff>
      <xdr:row>131</xdr:row>
      <xdr:rowOff>67235</xdr:rowOff>
    </xdr:from>
    <xdr:to>
      <xdr:col>9</xdr:col>
      <xdr:colOff>501092</xdr:colOff>
      <xdr:row>145</xdr:row>
      <xdr:rowOff>1</xdr:rowOff>
    </xdr:to>
    <xdr:pic>
      <xdr:nvPicPr>
        <xdr:cNvPr id="347" name="Picture 260">
          <a:extLst>
            <a:ext uri="{FF2B5EF4-FFF2-40B4-BE49-F238E27FC236}">
              <a16:creationId xmlns:a16="http://schemas.microsoft.com/office/drawing/2014/main" id="{B20DC228-3869-4446-B07D-6FDA61F77250}"/>
            </a:ext>
          </a:extLst>
        </xdr:cNvPr>
        <xdr:cNvPicPr>
          <a:picLocks noChangeAspect="1"/>
        </xdr:cNvPicPr>
      </xdr:nvPicPr>
      <xdr:blipFill rotWithShape="1">
        <a:blip xmlns:r="http://schemas.openxmlformats.org/officeDocument/2006/relationships" r:embed="rId3"/>
        <a:srcRect l="53990" r="13879" b="21955"/>
        <a:stretch/>
      </xdr:blipFill>
      <xdr:spPr>
        <a:xfrm>
          <a:off x="560295" y="24092647"/>
          <a:ext cx="5468472" cy="24428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3735</xdr:colOff>
      <xdr:row>0</xdr:row>
      <xdr:rowOff>168012</xdr:rowOff>
    </xdr:from>
    <xdr:to>
      <xdr:col>7</xdr:col>
      <xdr:colOff>15715</xdr:colOff>
      <xdr:row>101</xdr:row>
      <xdr:rowOff>21713</xdr:rowOff>
    </xdr:to>
    <xdr:sp macro="" textlink="">
      <xdr:nvSpPr>
        <xdr:cNvPr id="4" name="Rectangle 1">
          <a:extLst>
            <a:ext uri="{FF2B5EF4-FFF2-40B4-BE49-F238E27FC236}">
              <a16:creationId xmlns:a16="http://schemas.microsoft.com/office/drawing/2014/main" id="{ACC60377-E4E3-47E5-BB4A-231B42C22FE4}"/>
            </a:ext>
          </a:extLst>
        </xdr:cNvPr>
        <xdr:cNvSpPr/>
      </xdr:nvSpPr>
      <xdr:spPr>
        <a:xfrm>
          <a:off x="351117" y="168012"/>
          <a:ext cx="18748216" cy="2328520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1291</xdr:colOff>
      <xdr:row>101</xdr:row>
      <xdr:rowOff>28574</xdr:rowOff>
    </xdr:from>
    <xdr:to>
      <xdr:col>7</xdr:col>
      <xdr:colOff>11906</xdr:colOff>
      <xdr:row>120</xdr:row>
      <xdr:rowOff>149679</xdr:rowOff>
    </xdr:to>
    <xdr:sp macro="" textlink="">
      <xdr:nvSpPr>
        <xdr:cNvPr id="2" name="Rectangle 1">
          <a:extLst>
            <a:ext uri="{FF2B5EF4-FFF2-40B4-BE49-F238E27FC236}">
              <a16:creationId xmlns:a16="http://schemas.microsoft.com/office/drawing/2014/main" id="{C09CE003-EDBE-4196-8F44-08CA9A156DAE}"/>
            </a:ext>
          </a:extLst>
        </xdr:cNvPr>
        <xdr:cNvSpPr/>
      </xdr:nvSpPr>
      <xdr:spPr>
        <a:xfrm>
          <a:off x="246220" y="22194610"/>
          <a:ext cx="18910936" cy="340042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4</xdr:col>
      <xdr:colOff>485322</xdr:colOff>
      <xdr:row>102</xdr:row>
      <xdr:rowOff>64227</xdr:rowOff>
    </xdr:from>
    <xdr:to>
      <xdr:col>5</xdr:col>
      <xdr:colOff>816845</xdr:colOff>
      <xdr:row>107</xdr:row>
      <xdr:rowOff>192405</xdr:rowOff>
    </xdr:to>
    <xdr:pic>
      <xdr:nvPicPr>
        <xdr:cNvPr id="5" name="Picture 1">
          <a:extLst>
            <a:ext uri="{FF2B5EF4-FFF2-40B4-BE49-F238E27FC236}">
              <a16:creationId xmlns:a16="http://schemas.microsoft.com/office/drawing/2014/main" id="{222FADAF-F23E-4024-9895-307C13C65816}"/>
            </a:ext>
          </a:extLst>
        </xdr:cNvPr>
        <xdr:cNvPicPr>
          <a:picLocks noChangeAspect="1"/>
        </xdr:cNvPicPr>
      </xdr:nvPicPr>
      <xdr:blipFill>
        <a:blip xmlns:r="http://schemas.openxmlformats.org/officeDocument/2006/relationships" r:embed="rId1"/>
        <a:stretch>
          <a:fillRect/>
        </a:stretch>
      </xdr:blipFill>
      <xdr:spPr>
        <a:xfrm>
          <a:off x="13256760" y="23202040"/>
          <a:ext cx="3893873" cy="2070960"/>
        </a:xfrm>
        <a:prstGeom prst="rect">
          <a:avLst/>
        </a:prstGeom>
      </xdr:spPr>
    </xdr:pic>
    <xdr:clientData/>
  </xdr:twoCellAnchor>
  <xdr:oneCellAnchor>
    <xdr:from>
      <xdr:col>5</xdr:col>
      <xdr:colOff>527829</xdr:colOff>
      <xdr:row>2</xdr:row>
      <xdr:rowOff>27321</xdr:rowOff>
    </xdr:from>
    <xdr:ext cx="2262467" cy="656495"/>
    <xdr:pic>
      <xdr:nvPicPr>
        <xdr:cNvPr id="7" name="Picture 6">
          <a:extLst>
            <a:ext uri="{FF2B5EF4-FFF2-40B4-BE49-F238E27FC236}">
              <a16:creationId xmlns:a16="http://schemas.microsoft.com/office/drawing/2014/main" id="{FFC10954-639B-4DEE-9F25-4E032B3BDD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6584258" y="381107"/>
          <a:ext cx="2262467" cy="656495"/>
        </a:xfrm>
        <a:prstGeom prst="rect">
          <a:avLst/>
        </a:prstGeom>
        <a:noFill/>
        <a:ln>
          <a:noFill/>
        </a:ln>
      </xdr:spPr>
    </xdr:pic>
    <xdr:clientData/>
  </xdr:oneCellAnchor>
  <xdr:twoCellAnchor editAs="oneCell">
    <xdr:from>
      <xdr:col>1</xdr:col>
      <xdr:colOff>100853</xdr:colOff>
      <xdr:row>1</xdr:row>
      <xdr:rowOff>100852</xdr:rowOff>
    </xdr:from>
    <xdr:to>
      <xdr:col>3</xdr:col>
      <xdr:colOff>707987</xdr:colOff>
      <xdr:row>8</xdr:row>
      <xdr:rowOff>134366</xdr:rowOff>
    </xdr:to>
    <xdr:pic>
      <xdr:nvPicPr>
        <xdr:cNvPr id="8" name="Picture 7">
          <a:extLst>
            <a:ext uri="{FF2B5EF4-FFF2-40B4-BE49-F238E27FC236}">
              <a16:creationId xmlns:a16="http://schemas.microsoft.com/office/drawing/2014/main" id="{67DFB50F-71C5-48F7-B243-E4950AF2E440}"/>
            </a:ext>
          </a:extLst>
        </xdr:cNvPr>
        <xdr:cNvPicPr>
          <a:picLocks noChangeAspect="1"/>
        </xdr:cNvPicPr>
      </xdr:nvPicPr>
      <xdr:blipFill>
        <a:blip xmlns:r="http://schemas.openxmlformats.org/officeDocument/2006/relationships" r:embed="rId3"/>
        <a:stretch>
          <a:fillRect/>
        </a:stretch>
      </xdr:blipFill>
      <xdr:spPr>
        <a:xfrm>
          <a:off x="448235" y="280146"/>
          <a:ext cx="2385060" cy="127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623160</xdr:colOff>
      <xdr:row>12</xdr:row>
      <xdr:rowOff>20091</xdr:rowOff>
    </xdr:from>
    <xdr:to>
      <xdr:col>17</xdr:col>
      <xdr:colOff>181473</xdr:colOff>
      <xdr:row>41</xdr:row>
      <xdr:rowOff>167644</xdr:rowOff>
    </xdr:to>
    <xdr:grpSp>
      <xdr:nvGrpSpPr>
        <xdr:cNvPr id="4" name="Group 3">
          <a:extLst>
            <a:ext uri="{FF2B5EF4-FFF2-40B4-BE49-F238E27FC236}">
              <a16:creationId xmlns:a16="http://schemas.microsoft.com/office/drawing/2014/main" id="{C713243C-6E3B-4E9C-9E1A-4E8C9B012D23}"/>
            </a:ext>
          </a:extLst>
        </xdr:cNvPr>
        <xdr:cNvGrpSpPr/>
      </xdr:nvGrpSpPr>
      <xdr:grpSpPr>
        <a:xfrm>
          <a:off x="626970" y="2368956"/>
          <a:ext cx="16145148" cy="5403448"/>
          <a:chOff x="438149" y="1988516"/>
          <a:chExt cx="16135623" cy="5354703"/>
        </a:xfrm>
      </xdr:grpSpPr>
      <xdr:sp macro="" textlink="">
        <xdr:nvSpPr>
          <xdr:cNvPr id="50" name="Arrow: Pentagon 49">
            <a:extLst>
              <a:ext uri="{FF2B5EF4-FFF2-40B4-BE49-F238E27FC236}">
                <a16:creationId xmlns:a16="http://schemas.microsoft.com/office/drawing/2014/main" id="{0068B18D-4C37-492A-98F8-9C9CC848D4D6}"/>
              </a:ext>
            </a:extLst>
          </xdr:cNvPr>
          <xdr:cNvSpPr/>
        </xdr:nvSpPr>
        <xdr:spPr>
          <a:xfrm rot="5400000">
            <a:off x="13704867" y="3268985"/>
            <a:ext cx="364305" cy="963365"/>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54" name="Rectangle 2">
            <a:extLst>
              <a:ext uri="{FF2B5EF4-FFF2-40B4-BE49-F238E27FC236}">
                <a16:creationId xmlns:a16="http://schemas.microsoft.com/office/drawing/2014/main" id="{25D3B6B2-CC9F-41E9-B6CF-BC4C2EC3EE90}"/>
              </a:ext>
            </a:extLst>
          </xdr:cNvPr>
          <xdr:cNvSpPr/>
        </xdr:nvSpPr>
        <xdr:spPr>
          <a:xfrm>
            <a:off x="10081906" y="3937147"/>
            <a:ext cx="3205552" cy="121537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ATR + CCS</a:t>
            </a:r>
          </a:p>
        </xdr:txBody>
      </xdr:sp>
      <xdr:sp macro="" textlink="">
        <xdr:nvSpPr>
          <xdr:cNvPr id="155" name="Rectangle 3">
            <a:extLst>
              <a:ext uri="{FF2B5EF4-FFF2-40B4-BE49-F238E27FC236}">
                <a16:creationId xmlns:a16="http://schemas.microsoft.com/office/drawing/2014/main" id="{97068059-1607-47FA-84E2-D40141F48101}"/>
              </a:ext>
            </a:extLst>
          </xdr:cNvPr>
          <xdr:cNvSpPr/>
        </xdr:nvSpPr>
        <xdr:spPr>
          <a:xfrm>
            <a:off x="14569962" y="3961331"/>
            <a:ext cx="2003810" cy="1152796"/>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Hydrogen </a:t>
            </a:r>
          </a:p>
          <a:p>
            <a:pPr algn="ctr"/>
            <a:r>
              <a:rPr lang="en-GB" sz="1600">
                <a:solidFill>
                  <a:schemeClr val="tx1"/>
                </a:solidFill>
              </a:rPr>
              <a:t>(99.9 vol% purity, </a:t>
            </a:r>
          </a:p>
          <a:p>
            <a:pPr algn="ctr"/>
            <a:r>
              <a:rPr lang="en-GB" sz="1600">
                <a:solidFill>
                  <a:schemeClr val="tx1"/>
                </a:solidFill>
              </a:rPr>
              <a:t>3 MPa)</a:t>
            </a:r>
          </a:p>
        </xdr:txBody>
      </xdr:sp>
      <xdr:sp macro="" textlink="">
        <xdr:nvSpPr>
          <xdr:cNvPr id="156" name="Arrow: Pentagon 4">
            <a:extLst>
              <a:ext uri="{FF2B5EF4-FFF2-40B4-BE49-F238E27FC236}">
                <a16:creationId xmlns:a16="http://schemas.microsoft.com/office/drawing/2014/main" id="{176A5F00-9877-45EA-8BA1-F100652EB03F}"/>
              </a:ext>
            </a:extLst>
          </xdr:cNvPr>
          <xdr:cNvSpPr/>
        </xdr:nvSpPr>
        <xdr:spPr>
          <a:xfrm>
            <a:off x="13339402" y="3956578"/>
            <a:ext cx="1188033" cy="1203940"/>
          </a:xfrm>
          <a:prstGeom prst="homePlate">
            <a:avLst>
              <a:gd name="adj" fmla="val 14626"/>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57" name="Rectangle 5">
            <a:extLst>
              <a:ext uri="{FF2B5EF4-FFF2-40B4-BE49-F238E27FC236}">
                <a16:creationId xmlns:a16="http://schemas.microsoft.com/office/drawing/2014/main" id="{5A82E947-B98A-BF49-993C-880E4D3F0689}"/>
              </a:ext>
            </a:extLst>
          </xdr:cNvPr>
          <xdr:cNvSpPr/>
        </xdr:nvSpPr>
        <xdr:spPr>
          <a:xfrm>
            <a:off x="6213522" y="3936260"/>
            <a:ext cx="1793962" cy="1197677"/>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Biogas production &amp; upgrading</a:t>
            </a:r>
          </a:p>
        </xdr:txBody>
      </xdr:sp>
      <xdr:sp macro="" textlink="">
        <xdr:nvSpPr>
          <xdr:cNvPr id="158" name="Arrow: Pentagon 6">
            <a:extLst>
              <a:ext uri="{FF2B5EF4-FFF2-40B4-BE49-F238E27FC236}">
                <a16:creationId xmlns:a16="http://schemas.microsoft.com/office/drawing/2014/main" id="{BE1DF5E9-6692-8843-8937-A6BD2B5929D6}"/>
              </a:ext>
            </a:extLst>
          </xdr:cNvPr>
          <xdr:cNvSpPr/>
        </xdr:nvSpPr>
        <xdr:spPr>
          <a:xfrm>
            <a:off x="3500680" y="3938948"/>
            <a:ext cx="381489" cy="1207202"/>
          </a:xfrm>
          <a:prstGeom prst="homePlate">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59" name="Rectangle 8">
            <a:extLst>
              <a:ext uri="{FF2B5EF4-FFF2-40B4-BE49-F238E27FC236}">
                <a16:creationId xmlns:a16="http://schemas.microsoft.com/office/drawing/2014/main" id="{0DD4C5DE-EE9D-2D4D-9230-298A0276F152}"/>
              </a:ext>
            </a:extLst>
          </xdr:cNvPr>
          <xdr:cNvSpPr/>
        </xdr:nvSpPr>
        <xdr:spPr>
          <a:xfrm>
            <a:off x="631294" y="3939701"/>
            <a:ext cx="2793831" cy="1210226"/>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GB" sz="2000" kern="1200">
                <a:solidFill>
                  <a:schemeClr val="tx1"/>
                </a:solidFill>
                <a:latin typeface="+mn-lt"/>
                <a:ea typeface="+mn-ea"/>
                <a:cs typeface="+mn-cs"/>
              </a:rPr>
              <a:t>Maize cultivation</a:t>
            </a:r>
          </a:p>
        </xdr:txBody>
      </xdr:sp>
      <xdr:sp macro="" textlink="">
        <xdr:nvSpPr>
          <xdr:cNvPr id="161" name="Rectangle 27">
            <a:extLst>
              <a:ext uri="{FF2B5EF4-FFF2-40B4-BE49-F238E27FC236}">
                <a16:creationId xmlns:a16="http://schemas.microsoft.com/office/drawing/2014/main" id="{A14999E6-3EAF-ED42-9EC2-1B123D7AEA70}"/>
              </a:ext>
            </a:extLst>
          </xdr:cNvPr>
          <xdr:cNvSpPr/>
        </xdr:nvSpPr>
        <xdr:spPr>
          <a:xfrm rot="16200000">
            <a:off x="627805" y="2584360"/>
            <a:ext cx="1403818" cy="57063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Fertiliser</a:t>
            </a:r>
            <a:endParaRPr lang="en-GB" sz="1200">
              <a:solidFill>
                <a:schemeClr val="tx1"/>
              </a:solidFill>
            </a:endParaRPr>
          </a:p>
        </xdr:txBody>
      </xdr:sp>
      <xdr:sp macro="" textlink="">
        <xdr:nvSpPr>
          <xdr:cNvPr id="162" name="Rectangle 28">
            <a:extLst>
              <a:ext uri="{FF2B5EF4-FFF2-40B4-BE49-F238E27FC236}">
                <a16:creationId xmlns:a16="http://schemas.microsoft.com/office/drawing/2014/main" id="{7E3C4F2B-C1DD-B242-8155-F0ADB1D6CDEF}"/>
              </a:ext>
            </a:extLst>
          </xdr:cNvPr>
          <xdr:cNvSpPr/>
        </xdr:nvSpPr>
        <xdr:spPr>
          <a:xfrm rot="16200000">
            <a:off x="1298585" y="2584362"/>
            <a:ext cx="1403817" cy="57063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Maize seed</a:t>
            </a:r>
          </a:p>
        </xdr:txBody>
      </xdr:sp>
      <xdr:sp macro="" textlink="">
        <xdr:nvSpPr>
          <xdr:cNvPr id="163" name="Rectangle 29">
            <a:extLst>
              <a:ext uri="{FF2B5EF4-FFF2-40B4-BE49-F238E27FC236}">
                <a16:creationId xmlns:a16="http://schemas.microsoft.com/office/drawing/2014/main" id="{8F203214-0AD6-024E-BF20-78E15351EB43}"/>
              </a:ext>
            </a:extLst>
          </xdr:cNvPr>
          <xdr:cNvSpPr/>
        </xdr:nvSpPr>
        <xdr:spPr>
          <a:xfrm rot="16200000">
            <a:off x="1980798" y="2584359"/>
            <a:ext cx="1403816" cy="57063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Diesel</a:t>
            </a:r>
          </a:p>
        </xdr:txBody>
      </xdr:sp>
      <xdr:sp macro="" textlink="">
        <xdr:nvSpPr>
          <xdr:cNvPr id="164" name="Arrow: Pentagon 30">
            <a:extLst>
              <a:ext uri="{FF2B5EF4-FFF2-40B4-BE49-F238E27FC236}">
                <a16:creationId xmlns:a16="http://schemas.microsoft.com/office/drawing/2014/main" id="{4B75E21A-B468-6F4A-9D51-A05660640186}"/>
              </a:ext>
            </a:extLst>
          </xdr:cNvPr>
          <xdr:cNvSpPr/>
        </xdr:nvSpPr>
        <xdr:spPr>
          <a:xfrm rot="16200000" flipH="1">
            <a:off x="1868665" y="2790242"/>
            <a:ext cx="275093" cy="1923633"/>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65" name="Rectangle 10">
            <a:extLst>
              <a:ext uri="{FF2B5EF4-FFF2-40B4-BE49-F238E27FC236}">
                <a16:creationId xmlns:a16="http://schemas.microsoft.com/office/drawing/2014/main" id="{9B7BD375-22E2-C047-A93A-F5EC0CAEC494}"/>
              </a:ext>
            </a:extLst>
          </xdr:cNvPr>
          <xdr:cNvSpPr/>
        </xdr:nvSpPr>
        <xdr:spPr>
          <a:xfrm>
            <a:off x="3912828" y="3929563"/>
            <a:ext cx="1792750" cy="1197677"/>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Feedstock collection &amp; transport</a:t>
            </a:r>
          </a:p>
        </xdr:txBody>
      </xdr:sp>
      <xdr:sp macro="" textlink="">
        <xdr:nvSpPr>
          <xdr:cNvPr id="166" name="Rectangle 11">
            <a:extLst>
              <a:ext uri="{FF2B5EF4-FFF2-40B4-BE49-F238E27FC236}">
                <a16:creationId xmlns:a16="http://schemas.microsoft.com/office/drawing/2014/main" id="{43032507-AA92-DD43-BC36-45AD26335720}"/>
              </a:ext>
            </a:extLst>
          </xdr:cNvPr>
          <xdr:cNvSpPr/>
        </xdr:nvSpPr>
        <xdr:spPr>
          <a:xfrm>
            <a:off x="3912828" y="2602149"/>
            <a:ext cx="1792750" cy="93874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Road transport: distance travelled, diesel truck</a:t>
            </a:r>
          </a:p>
        </xdr:txBody>
      </xdr:sp>
      <xdr:sp macro="" textlink="">
        <xdr:nvSpPr>
          <xdr:cNvPr id="167" name="Arrow: Pentagon 12">
            <a:extLst>
              <a:ext uri="{FF2B5EF4-FFF2-40B4-BE49-F238E27FC236}">
                <a16:creationId xmlns:a16="http://schemas.microsoft.com/office/drawing/2014/main" id="{EFD53E71-524C-6A46-9DAF-34D0F289B2D9}"/>
              </a:ext>
            </a:extLst>
          </xdr:cNvPr>
          <xdr:cNvSpPr/>
        </xdr:nvSpPr>
        <xdr:spPr>
          <a:xfrm rot="5400000">
            <a:off x="4674896" y="2826515"/>
            <a:ext cx="268611" cy="1792748"/>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68" name="Arrow: Pentagon 13">
            <a:extLst>
              <a:ext uri="{FF2B5EF4-FFF2-40B4-BE49-F238E27FC236}">
                <a16:creationId xmlns:a16="http://schemas.microsoft.com/office/drawing/2014/main" id="{D6BFF58F-541B-2D41-AF8B-9294909D3ACF}"/>
              </a:ext>
            </a:extLst>
          </xdr:cNvPr>
          <xdr:cNvSpPr/>
        </xdr:nvSpPr>
        <xdr:spPr>
          <a:xfrm>
            <a:off x="5763781" y="3918008"/>
            <a:ext cx="371964" cy="1208977"/>
          </a:xfrm>
          <a:prstGeom prst="homePlate">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69" name="Pentagon 56">
            <a:extLst>
              <a:ext uri="{FF2B5EF4-FFF2-40B4-BE49-F238E27FC236}">
                <a16:creationId xmlns:a16="http://schemas.microsoft.com/office/drawing/2014/main" id="{80035EAD-72C9-104E-B073-EC9476CD63CF}"/>
              </a:ext>
            </a:extLst>
          </xdr:cNvPr>
          <xdr:cNvSpPr/>
        </xdr:nvSpPr>
        <xdr:spPr>
          <a:xfrm>
            <a:off x="8105154" y="3938197"/>
            <a:ext cx="1954344" cy="1195177"/>
          </a:xfrm>
          <a:prstGeom prst="homePlate">
            <a:avLst>
              <a:gd name="adj" fmla="val 25128"/>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Biomethane</a:t>
            </a:r>
          </a:p>
        </xdr:txBody>
      </xdr:sp>
      <xdr:sp macro="" textlink="">
        <xdr:nvSpPr>
          <xdr:cNvPr id="170" name="Arrow: Pentagon 17">
            <a:extLst>
              <a:ext uri="{FF2B5EF4-FFF2-40B4-BE49-F238E27FC236}">
                <a16:creationId xmlns:a16="http://schemas.microsoft.com/office/drawing/2014/main" id="{B45911FB-E099-AB4C-8A8E-62F77617E5BB}"/>
              </a:ext>
            </a:extLst>
          </xdr:cNvPr>
          <xdr:cNvSpPr/>
        </xdr:nvSpPr>
        <xdr:spPr>
          <a:xfrm rot="5400000">
            <a:off x="10841755" y="2821872"/>
            <a:ext cx="275470" cy="1795176"/>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1" name="Rectangle 18">
            <a:extLst>
              <a:ext uri="{FF2B5EF4-FFF2-40B4-BE49-F238E27FC236}">
                <a16:creationId xmlns:a16="http://schemas.microsoft.com/office/drawing/2014/main" id="{3F688BD7-A9E4-4E43-9632-0E186D08B9E0}"/>
              </a:ext>
            </a:extLst>
          </xdr:cNvPr>
          <xdr:cNvSpPr/>
        </xdr:nvSpPr>
        <xdr:spPr>
          <a:xfrm>
            <a:off x="10081900" y="1993084"/>
            <a:ext cx="1795173" cy="57096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UK electricity generation</a:t>
            </a:r>
          </a:p>
        </xdr:txBody>
      </xdr:sp>
      <xdr:sp macro="" textlink="">
        <xdr:nvSpPr>
          <xdr:cNvPr id="172" name="Rectangle 19">
            <a:extLst>
              <a:ext uri="{FF2B5EF4-FFF2-40B4-BE49-F238E27FC236}">
                <a16:creationId xmlns:a16="http://schemas.microsoft.com/office/drawing/2014/main" id="{8391B5B3-BFFC-FD4B-BE01-B46C73F8E5CB}"/>
              </a:ext>
            </a:extLst>
          </xdr:cNvPr>
          <xdr:cNvSpPr/>
        </xdr:nvSpPr>
        <xdr:spPr>
          <a:xfrm>
            <a:off x="10081907" y="2927127"/>
            <a:ext cx="1795172" cy="57096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Electricity grid</a:t>
            </a:r>
          </a:p>
          <a:p>
            <a:pPr algn="ctr"/>
            <a:r>
              <a:rPr lang="en-GB" sz="1600">
                <a:solidFill>
                  <a:schemeClr val="tx1"/>
                </a:solidFill>
              </a:rPr>
              <a:t>(T&amp;D losses)</a:t>
            </a:r>
          </a:p>
        </xdr:txBody>
      </xdr:sp>
      <xdr:sp macro="" textlink="">
        <xdr:nvSpPr>
          <xdr:cNvPr id="173" name="Arrow: Pentagon 20">
            <a:extLst>
              <a:ext uri="{FF2B5EF4-FFF2-40B4-BE49-F238E27FC236}">
                <a16:creationId xmlns:a16="http://schemas.microsoft.com/office/drawing/2014/main" id="{293AB32E-D2B7-DA44-921D-5F53DB910EB1}"/>
              </a:ext>
            </a:extLst>
          </xdr:cNvPr>
          <xdr:cNvSpPr/>
        </xdr:nvSpPr>
        <xdr:spPr>
          <a:xfrm rot="5400000">
            <a:off x="10845754" y="1854297"/>
            <a:ext cx="267467" cy="1795177"/>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4" name="Arrow: Pentagon 21">
            <a:extLst>
              <a:ext uri="{FF2B5EF4-FFF2-40B4-BE49-F238E27FC236}">
                <a16:creationId xmlns:a16="http://schemas.microsoft.com/office/drawing/2014/main" id="{551EF02A-A3C9-8946-BAC3-3A417FB3EA0E}"/>
              </a:ext>
            </a:extLst>
          </xdr:cNvPr>
          <xdr:cNvSpPr/>
        </xdr:nvSpPr>
        <xdr:spPr>
          <a:xfrm rot="5400000">
            <a:off x="12149483" y="4521994"/>
            <a:ext cx="462218" cy="1804698"/>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5" name="Rectangle 22">
            <a:extLst>
              <a:ext uri="{FF2B5EF4-FFF2-40B4-BE49-F238E27FC236}">
                <a16:creationId xmlns:a16="http://schemas.microsoft.com/office/drawing/2014/main" id="{77A6B77A-FE23-F845-9D75-C0F27A8964A0}"/>
              </a:ext>
            </a:extLst>
          </xdr:cNvPr>
          <xdr:cNvSpPr/>
        </xdr:nvSpPr>
        <xdr:spPr>
          <a:xfrm>
            <a:off x="11478245" y="5765726"/>
            <a:ext cx="1804698" cy="1577489"/>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Biogenic CO</a:t>
            </a:r>
            <a:r>
              <a:rPr lang="en-GB" sz="1600" baseline="-25000">
                <a:solidFill>
                  <a:schemeClr val="tx1"/>
                </a:solidFill>
              </a:rPr>
              <a:t>2</a:t>
            </a:r>
            <a:r>
              <a:rPr lang="en-GB" sz="1600">
                <a:solidFill>
                  <a:schemeClr val="tx1"/>
                </a:solidFill>
              </a:rPr>
              <a:t> capture and sequestration</a:t>
            </a:r>
          </a:p>
        </xdr:txBody>
      </xdr:sp>
      <xdr:sp macro="" textlink="">
        <xdr:nvSpPr>
          <xdr:cNvPr id="176" name="Arrow: Pentagon 23">
            <a:extLst>
              <a:ext uri="{FF2B5EF4-FFF2-40B4-BE49-F238E27FC236}">
                <a16:creationId xmlns:a16="http://schemas.microsoft.com/office/drawing/2014/main" id="{5CE57FDC-62AC-154E-AA0B-A86A942A4617}"/>
              </a:ext>
            </a:extLst>
          </xdr:cNvPr>
          <xdr:cNvSpPr/>
        </xdr:nvSpPr>
        <xdr:spPr>
          <a:xfrm rot="5400000">
            <a:off x="6973992" y="2828114"/>
            <a:ext cx="273019" cy="179396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7" name="Rectangle 24">
            <a:extLst>
              <a:ext uri="{FF2B5EF4-FFF2-40B4-BE49-F238E27FC236}">
                <a16:creationId xmlns:a16="http://schemas.microsoft.com/office/drawing/2014/main" id="{8BCBC994-FD87-8C43-AA43-F9477F3AD692}"/>
              </a:ext>
            </a:extLst>
          </xdr:cNvPr>
          <xdr:cNvSpPr/>
        </xdr:nvSpPr>
        <xdr:spPr>
          <a:xfrm>
            <a:off x="6213520" y="1988516"/>
            <a:ext cx="1793961" cy="57858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UK electricity generation</a:t>
            </a:r>
          </a:p>
        </xdr:txBody>
      </xdr:sp>
      <xdr:sp macro="" textlink="">
        <xdr:nvSpPr>
          <xdr:cNvPr id="178" name="Arrow: Pentagon 25">
            <a:extLst>
              <a:ext uri="{FF2B5EF4-FFF2-40B4-BE49-F238E27FC236}">
                <a16:creationId xmlns:a16="http://schemas.microsoft.com/office/drawing/2014/main" id="{1420A524-796F-7C47-BBAD-C6D530FDC333}"/>
              </a:ext>
            </a:extLst>
          </xdr:cNvPr>
          <xdr:cNvSpPr/>
        </xdr:nvSpPr>
        <xdr:spPr>
          <a:xfrm rot="5400000">
            <a:off x="6979286" y="1860473"/>
            <a:ext cx="262429" cy="1793961"/>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9" name="Rectangle 26">
            <a:extLst>
              <a:ext uri="{FF2B5EF4-FFF2-40B4-BE49-F238E27FC236}">
                <a16:creationId xmlns:a16="http://schemas.microsoft.com/office/drawing/2014/main" id="{B5CCB825-260F-2A45-8EE6-D2CD3D45C784}"/>
              </a:ext>
            </a:extLst>
          </xdr:cNvPr>
          <xdr:cNvSpPr/>
        </xdr:nvSpPr>
        <xdr:spPr>
          <a:xfrm>
            <a:off x="6213522" y="2923665"/>
            <a:ext cx="1793960" cy="577227"/>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Electricity grid</a:t>
            </a:r>
          </a:p>
          <a:p>
            <a:pPr algn="ctr"/>
            <a:r>
              <a:rPr lang="en-GB" sz="1600">
                <a:solidFill>
                  <a:schemeClr val="tx1"/>
                </a:solidFill>
              </a:rPr>
              <a:t>(T&amp;D losses)</a:t>
            </a:r>
          </a:p>
        </xdr:txBody>
      </xdr:sp>
      <xdr:sp macro="" textlink="">
        <xdr:nvSpPr>
          <xdr:cNvPr id="33" name="TextBox 32">
            <a:extLst>
              <a:ext uri="{FF2B5EF4-FFF2-40B4-BE49-F238E27FC236}">
                <a16:creationId xmlns:a16="http://schemas.microsoft.com/office/drawing/2014/main" id="{2D8B50CF-F0A0-40C0-87C6-59B734F7D36D}"/>
              </a:ext>
            </a:extLst>
          </xdr:cNvPr>
          <xdr:cNvSpPr txBox="1"/>
        </xdr:nvSpPr>
        <xdr:spPr>
          <a:xfrm>
            <a:off x="440055" y="5664798"/>
            <a:ext cx="2806187" cy="272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Indicative</a:t>
            </a:r>
            <a:r>
              <a:rPr lang="en-GB" sz="1100" baseline="0">
                <a:solidFill>
                  <a:srgbClr val="FF0000"/>
                </a:solidFill>
              </a:rPr>
              <a:t> GHG emissions system boundary</a:t>
            </a:r>
            <a:endParaRPr lang="en-GB" sz="1100">
              <a:solidFill>
                <a:srgbClr val="FF0000"/>
              </a:solidFill>
            </a:endParaRPr>
          </a:p>
        </xdr:txBody>
      </xdr:sp>
      <xdr:sp macro="" textlink="">
        <xdr:nvSpPr>
          <xdr:cNvPr id="34" name="Rectangle 33">
            <a:extLst>
              <a:ext uri="{FF2B5EF4-FFF2-40B4-BE49-F238E27FC236}">
                <a16:creationId xmlns:a16="http://schemas.microsoft.com/office/drawing/2014/main" id="{F3D82ADE-E536-4DAA-8658-0EBB779FDD53}"/>
              </a:ext>
            </a:extLst>
          </xdr:cNvPr>
          <xdr:cNvSpPr/>
        </xdr:nvSpPr>
        <xdr:spPr>
          <a:xfrm>
            <a:off x="514332" y="3719232"/>
            <a:ext cx="9369380" cy="159078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5" name="TextBox 34">
            <a:extLst>
              <a:ext uri="{FF2B5EF4-FFF2-40B4-BE49-F238E27FC236}">
                <a16:creationId xmlns:a16="http://schemas.microsoft.com/office/drawing/2014/main" id="{3E6E04B3-6993-4BF8-BD02-ED3177F0AE7F}"/>
              </a:ext>
            </a:extLst>
          </xdr:cNvPr>
          <xdr:cNvSpPr txBox="1"/>
        </xdr:nvSpPr>
        <xdr:spPr>
          <a:xfrm>
            <a:off x="8747032" y="5065955"/>
            <a:ext cx="1178580" cy="291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Feedstock supply</a:t>
            </a:r>
          </a:p>
        </xdr:txBody>
      </xdr:sp>
      <xdr:sp macro="" textlink="">
        <xdr:nvSpPr>
          <xdr:cNvPr id="36" name="Rectangle 35">
            <a:extLst>
              <a:ext uri="{FF2B5EF4-FFF2-40B4-BE49-F238E27FC236}">
                <a16:creationId xmlns:a16="http://schemas.microsoft.com/office/drawing/2014/main" id="{421CCBA7-0EEE-47A2-90D2-3687AD22B372}"/>
              </a:ext>
            </a:extLst>
          </xdr:cNvPr>
          <xdr:cNvSpPr/>
        </xdr:nvSpPr>
        <xdr:spPr>
          <a:xfrm>
            <a:off x="10106543" y="3717326"/>
            <a:ext cx="1767870" cy="1431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7" name="TextBox 36">
            <a:extLst>
              <a:ext uri="{FF2B5EF4-FFF2-40B4-BE49-F238E27FC236}">
                <a16:creationId xmlns:a16="http://schemas.microsoft.com/office/drawing/2014/main" id="{6F0A09A3-58A1-4CE1-8DD1-62B360E33705}"/>
              </a:ext>
            </a:extLst>
          </xdr:cNvPr>
          <xdr:cNvSpPr txBox="1"/>
        </xdr:nvSpPr>
        <xdr:spPr>
          <a:xfrm>
            <a:off x="10543470" y="3644937"/>
            <a:ext cx="1058594" cy="291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Energy supply</a:t>
            </a:r>
          </a:p>
        </xdr:txBody>
      </xdr:sp>
      <xdr:sp macro="" textlink="">
        <xdr:nvSpPr>
          <xdr:cNvPr id="86" name="Arrow: Pentagon 37">
            <a:extLst>
              <a:ext uri="{FF2B5EF4-FFF2-40B4-BE49-F238E27FC236}">
                <a16:creationId xmlns:a16="http://schemas.microsoft.com/office/drawing/2014/main" id="{77F1303A-AFDC-4D35-9C82-6C429A6C3694}"/>
              </a:ext>
            </a:extLst>
          </xdr:cNvPr>
          <xdr:cNvSpPr/>
        </xdr:nvSpPr>
        <xdr:spPr>
          <a:xfrm rot="5400000">
            <a:off x="11102128" y="5258699"/>
            <a:ext cx="423452" cy="286007"/>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85" name="Rectangle 38">
            <a:extLst>
              <a:ext uri="{FF2B5EF4-FFF2-40B4-BE49-F238E27FC236}">
                <a16:creationId xmlns:a16="http://schemas.microsoft.com/office/drawing/2014/main" id="{1EDFEFA0-4A8B-47E3-8A93-0B3CBBE4D2B6}"/>
              </a:ext>
            </a:extLst>
          </xdr:cNvPr>
          <xdr:cNvSpPr/>
        </xdr:nvSpPr>
        <xdr:spPr>
          <a:xfrm rot="16200000">
            <a:off x="10513742" y="6417564"/>
            <a:ext cx="1586184" cy="265115"/>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Bio-CO</a:t>
            </a:r>
            <a:r>
              <a:rPr lang="en-GB" sz="1600" baseline="-25000">
                <a:solidFill>
                  <a:schemeClr val="tx1"/>
                </a:solidFill>
              </a:rPr>
              <a:t>2</a:t>
            </a:r>
            <a:r>
              <a:rPr lang="en-GB" sz="1600">
                <a:solidFill>
                  <a:schemeClr val="tx1"/>
                </a:solidFill>
              </a:rPr>
              <a:t> release</a:t>
            </a:r>
          </a:p>
        </xdr:txBody>
      </xdr:sp>
      <xdr:sp macro="" textlink="">
        <xdr:nvSpPr>
          <xdr:cNvPr id="121" name="Rectangle 39">
            <a:extLst>
              <a:ext uri="{FF2B5EF4-FFF2-40B4-BE49-F238E27FC236}">
                <a16:creationId xmlns:a16="http://schemas.microsoft.com/office/drawing/2014/main" id="{9E0DECC1-FEE8-48EE-A798-4777A205931B}"/>
              </a:ext>
            </a:extLst>
          </xdr:cNvPr>
          <xdr:cNvSpPr/>
        </xdr:nvSpPr>
        <xdr:spPr>
          <a:xfrm>
            <a:off x="11992498" y="2923766"/>
            <a:ext cx="892897" cy="57951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Water</a:t>
            </a:r>
          </a:p>
        </xdr:txBody>
      </xdr:sp>
      <xdr:sp macro="" textlink="">
        <xdr:nvSpPr>
          <xdr:cNvPr id="122" name="Arrow: Pentagon 40">
            <a:extLst>
              <a:ext uri="{FF2B5EF4-FFF2-40B4-BE49-F238E27FC236}">
                <a16:creationId xmlns:a16="http://schemas.microsoft.com/office/drawing/2014/main" id="{684CA63A-4F28-44C9-99E3-4716C8237514}"/>
              </a:ext>
            </a:extLst>
          </xdr:cNvPr>
          <xdr:cNvSpPr/>
        </xdr:nvSpPr>
        <xdr:spPr>
          <a:xfrm rot="5400000">
            <a:off x="12304025" y="3260013"/>
            <a:ext cx="286197" cy="91463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25" name="Rectangle 41">
            <a:extLst>
              <a:ext uri="{FF2B5EF4-FFF2-40B4-BE49-F238E27FC236}">
                <a16:creationId xmlns:a16="http://schemas.microsoft.com/office/drawing/2014/main" id="{69B442C1-E44B-49BF-A535-E1F3C1587743}"/>
              </a:ext>
            </a:extLst>
          </xdr:cNvPr>
          <xdr:cNvSpPr/>
        </xdr:nvSpPr>
        <xdr:spPr>
          <a:xfrm>
            <a:off x="11988687" y="3700180"/>
            <a:ext cx="915755" cy="18882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4" name="TextBox 42">
            <a:extLst>
              <a:ext uri="{FF2B5EF4-FFF2-40B4-BE49-F238E27FC236}">
                <a16:creationId xmlns:a16="http://schemas.microsoft.com/office/drawing/2014/main" id="{03AE3854-C959-4D70-89EB-D109994B88BE}"/>
              </a:ext>
            </a:extLst>
          </xdr:cNvPr>
          <xdr:cNvSpPr txBox="1"/>
        </xdr:nvSpPr>
        <xdr:spPr>
          <a:xfrm>
            <a:off x="11923934" y="3641127"/>
            <a:ext cx="1052880" cy="291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Input materials</a:t>
            </a:r>
          </a:p>
        </xdr:txBody>
      </xdr:sp>
      <xdr:sp macro="" textlink="">
        <xdr:nvSpPr>
          <xdr:cNvPr id="2" name="Rectangle 1">
            <a:extLst>
              <a:ext uri="{FF2B5EF4-FFF2-40B4-BE49-F238E27FC236}">
                <a16:creationId xmlns:a16="http://schemas.microsoft.com/office/drawing/2014/main" id="{99A90066-F997-494E-996E-EFD3A8DED67D}"/>
              </a:ext>
            </a:extLst>
          </xdr:cNvPr>
          <xdr:cNvSpPr/>
        </xdr:nvSpPr>
        <xdr:spPr>
          <a:xfrm>
            <a:off x="438149" y="3643033"/>
            <a:ext cx="14021972" cy="2050340"/>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3" name="Rectangle 43">
            <a:extLst>
              <a:ext uri="{FF2B5EF4-FFF2-40B4-BE49-F238E27FC236}">
                <a16:creationId xmlns:a16="http://schemas.microsoft.com/office/drawing/2014/main" id="{F971B34B-4C91-40BB-B6BA-112E2DBFEB94}"/>
              </a:ext>
            </a:extLst>
          </xdr:cNvPr>
          <xdr:cNvSpPr/>
        </xdr:nvSpPr>
        <xdr:spPr>
          <a:xfrm>
            <a:off x="11155615" y="5166919"/>
            <a:ext cx="2129737" cy="16215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2" name="Rectangle 44">
            <a:extLst>
              <a:ext uri="{FF2B5EF4-FFF2-40B4-BE49-F238E27FC236}">
                <a16:creationId xmlns:a16="http://schemas.microsoft.com/office/drawing/2014/main" id="{8EFA83FD-F18B-48A5-B499-F3433AE3AB1A}"/>
              </a:ext>
            </a:extLst>
          </xdr:cNvPr>
          <xdr:cNvSpPr/>
        </xdr:nvSpPr>
        <xdr:spPr>
          <a:xfrm>
            <a:off x="11487006" y="5388348"/>
            <a:ext cx="1819295" cy="16192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8" name="TextBox 45">
            <a:extLst>
              <a:ext uri="{FF2B5EF4-FFF2-40B4-BE49-F238E27FC236}">
                <a16:creationId xmlns:a16="http://schemas.microsoft.com/office/drawing/2014/main" id="{C7EE30DE-315A-48A8-95B5-C6CD011FA6EA}"/>
              </a:ext>
            </a:extLst>
          </xdr:cNvPr>
          <xdr:cNvSpPr txBox="1"/>
        </xdr:nvSpPr>
        <xdr:spPr>
          <a:xfrm>
            <a:off x="11536526" y="5113580"/>
            <a:ext cx="1919116" cy="282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Process CO2 emissions</a:t>
            </a:r>
          </a:p>
        </xdr:txBody>
      </xdr:sp>
      <xdr:sp macro="" textlink="">
        <xdr:nvSpPr>
          <xdr:cNvPr id="87" name="TextBox 46">
            <a:extLst>
              <a:ext uri="{FF2B5EF4-FFF2-40B4-BE49-F238E27FC236}">
                <a16:creationId xmlns:a16="http://schemas.microsoft.com/office/drawing/2014/main" id="{A44B0D46-53A1-4AAE-96E6-F587CCF1083A}"/>
              </a:ext>
            </a:extLst>
          </xdr:cNvPr>
          <xdr:cNvSpPr txBox="1"/>
        </xdr:nvSpPr>
        <xdr:spPr>
          <a:xfrm>
            <a:off x="11803947" y="5330974"/>
            <a:ext cx="1920234" cy="282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CO2 sequestered</a:t>
            </a:r>
          </a:p>
        </xdr:txBody>
      </xdr:sp>
      <xdr:sp macro="" textlink="">
        <xdr:nvSpPr>
          <xdr:cNvPr id="48" name="Rectangle 47">
            <a:extLst>
              <a:ext uri="{FF2B5EF4-FFF2-40B4-BE49-F238E27FC236}">
                <a16:creationId xmlns:a16="http://schemas.microsoft.com/office/drawing/2014/main" id="{89C3DE9B-9D70-402D-A924-6357F550C8C5}"/>
              </a:ext>
            </a:extLst>
          </xdr:cNvPr>
          <xdr:cNvSpPr/>
        </xdr:nvSpPr>
        <xdr:spPr>
          <a:xfrm rot="16200000">
            <a:off x="13132586" y="3995790"/>
            <a:ext cx="1505061" cy="93289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9" name="TextBox 48">
            <a:extLst>
              <a:ext uri="{FF2B5EF4-FFF2-40B4-BE49-F238E27FC236}">
                <a16:creationId xmlns:a16="http://schemas.microsoft.com/office/drawing/2014/main" id="{A466C68B-07A4-4C79-B7B0-9034F36B1D3B}"/>
              </a:ext>
            </a:extLst>
          </xdr:cNvPr>
          <xdr:cNvSpPr txBox="1"/>
        </xdr:nvSpPr>
        <xdr:spPr>
          <a:xfrm>
            <a:off x="13421052" y="4220443"/>
            <a:ext cx="985742" cy="895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Theoretical compression &amp; purification</a:t>
            </a:r>
          </a:p>
        </xdr:txBody>
      </xdr:sp>
      <xdr:sp macro="" textlink="">
        <xdr:nvSpPr>
          <xdr:cNvPr id="51" name="Rectangle 50">
            <a:extLst>
              <a:ext uri="{FF2B5EF4-FFF2-40B4-BE49-F238E27FC236}">
                <a16:creationId xmlns:a16="http://schemas.microsoft.com/office/drawing/2014/main" id="{9A46435A-99FD-403B-A5AA-D663DB58EF06}"/>
              </a:ext>
            </a:extLst>
          </xdr:cNvPr>
          <xdr:cNvSpPr/>
        </xdr:nvSpPr>
        <xdr:spPr>
          <a:xfrm>
            <a:off x="13433906" y="1992343"/>
            <a:ext cx="934796" cy="57112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UK electricity generation</a:t>
            </a:r>
          </a:p>
        </xdr:txBody>
      </xdr:sp>
      <xdr:sp macro="" textlink="">
        <xdr:nvSpPr>
          <xdr:cNvPr id="52" name="Rectangle 51">
            <a:extLst>
              <a:ext uri="{FF2B5EF4-FFF2-40B4-BE49-F238E27FC236}">
                <a16:creationId xmlns:a16="http://schemas.microsoft.com/office/drawing/2014/main" id="{1B265433-A762-4821-A957-1441C7329F2C}"/>
              </a:ext>
            </a:extLst>
          </xdr:cNvPr>
          <xdr:cNvSpPr/>
        </xdr:nvSpPr>
        <xdr:spPr>
          <a:xfrm>
            <a:off x="13418669" y="2922752"/>
            <a:ext cx="950034" cy="571122"/>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Electricity grid</a:t>
            </a:r>
          </a:p>
          <a:p>
            <a:pPr algn="ctr"/>
            <a:r>
              <a:rPr lang="en-GB" sz="1100">
                <a:solidFill>
                  <a:schemeClr val="tx1"/>
                </a:solidFill>
              </a:rPr>
              <a:t>(T&amp;D losses)</a:t>
            </a:r>
          </a:p>
        </xdr:txBody>
      </xdr:sp>
      <xdr:sp macro="" textlink="">
        <xdr:nvSpPr>
          <xdr:cNvPr id="53" name="Arrow: Pentagon 52">
            <a:extLst>
              <a:ext uri="{FF2B5EF4-FFF2-40B4-BE49-F238E27FC236}">
                <a16:creationId xmlns:a16="http://schemas.microsoft.com/office/drawing/2014/main" id="{60284621-F331-43BA-8D8A-29F538CDF05C}"/>
              </a:ext>
            </a:extLst>
          </xdr:cNvPr>
          <xdr:cNvSpPr/>
        </xdr:nvSpPr>
        <xdr:spPr>
          <a:xfrm rot="5400000">
            <a:off x="13751003" y="2284464"/>
            <a:ext cx="301435" cy="93563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84" name="Arrow: Pentagon 53">
            <a:extLst>
              <a:ext uri="{FF2B5EF4-FFF2-40B4-BE49-F238E27FC236}">
                <a16:creationId xmlns:a16="http://schemas.microsoft.com/office/drawing/2014/main" id="{D66A3C62-23DB-4E59-80AD-FB806CA6F559}"/>
              </a:ext>
            </a:extLst>
          </xdr:cNvPr>
          <xdr:cNvSpPr/>
        </xdr:nvSpPr>
        <xdr:spPr>
          <a:xfrm rot="5400000" flipV="1">
            <a:off x="10775833" y="5264056"/>
            <a:ext cx="417868" cy="265512"/>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80" name="Rectangle 38">
            <a:extLst>
              <a:ext uri="{FF2B5EF4-FFF2-40B4-BE49-F238E27FC236}">
                <a16:creationId xmlns:a16="http://schemas.microsoft.com/office/drawing/2014/main" id="{F76D27B9-06D1-41EA-BB2E-23B6CB193649}"/>
              </a:ext>
            </a:extLst>
          </xdr:cNvPr>
          <xdr:cNvSpPr/>
        </xdr:nvSpPr>
        <xdr:spPr>
          <a:xfrm rot="16200000">
            <a:off x="10181197" y="6429752"/>
            <a:ext cx="1583888" cy="243045"/>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Fugitive non-CO</a:t>
            </a:r>
            <a:r>
              <a:rPr lang="en-GB" sz="1600" baseline="-25000">
                <a:solidFill>
                  <a:schemeClr val="tx1"/>
                </a:solidFill>
              </a:rPr>
              <a:t>2</a:t>
            </a:r>
            <a:endParaRPr lang="en-GB" sz="1600">
              <a:solidFill>
                <a:schemeClr val="tx1"/>
              </a:solidFill>
            </a:endParaRPr>
          </a:p>
        </xdr:txBody>
      </xdr:sp>
      <xdr:sp macro="" textlink="">
        <xdr:nvSpPr>
          <xdr:cNvPr id="181" name="Rectangle 43">
            <a:extLst>
              <a:ext uri="{FF2B5EF4-FFF2-40B4-BE49-F238E27FC236}">
                <a16:creationId xmlns:a16="http://schemas.microsoft.com/office/drawing/2014/main" id="{48627BB9-7D7D-457C-83F0-0B8F986597C4}"/>
              </a:ext>
            </a:extLst>
          </xdr:cNvPr>
          <xdr:cNvSpPr/>
        </xdr:nvSpPr>
        <xdr:spPr>
          <a:xfrm>
            <a:off x="10283076" y="5165276"/>
            <a:ext cx="849289" cy="31950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82" name="TextBox 46">
            <a:extLst>
              <a:ext uri="{FF2B5EF4-FFF2-40B4-BE49-F238E27FC236}">
                <a16:creationId xmlns:a16="http://schemas.microsoft.com/office/drawing/2014/main" id="{F49B8935-23D4-4A1D-9DE7-16C4809223AE}"/>
              </a:ext>
            </a:extLst>
          </xdr:cNvPr>
          <xdr:cNvSpPr txBox="1"/>
        </xdr:nvSpPr>
        <xdr:spPr>
          <a:xfrm>
            <a:off x="10221210" y="5114237"/>
            <a:ext cx="702580" cy="579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Fugitive</a:t>
            </a:r>
            <a:r>
              <a:rPr lang="en-GB" sz="1100" baseline="0">
                <a:solidFill>
                  <a:srgbClr val="FF0000"/>
                </a:solidFill>
              </a:rPr>
              <a:t> non-CO2</a:t>
            </a:r>
            <a:endParaRPr lang="en-GB" sz="1100">
              <a:solidFill>
                <a:srgbClr val="FF0000"/>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1748117</xdr:colOff>
      <xdr:row>24</xdr:row>
      <xdr:rowOff>71718</xdr:rowOff>
    </xdr:from>
    <xdr:to>
      <xdr:col>6</xdr:col>
      <xdr:colOff>45356</xdr:colOff>
      <xdr:row>27</xdr:row>
      <xdr:rowOff>5055</xdr:rowOff>
    </xdr:to>
    <xdr:cxnSp macro="">
      <xdr:nvCxnSpPr>
        <xdr:cNvPr id="2" name="Straight Arrow Connector 20">
          <a:extLst>
            <a:ext uri="{FF2B5EF4-FFF2-40B4-BE49-F238E27FC236}">
              <a16:creationId xmlns:a16="http://schemas.microsoft.com/office/drawing/2014/main" id="{B2E96E7F-EFFC-43F0-8CF3-215DD18A8B4D}"/>
            </a:ext>
          </a:extLst>
        </xdr:cNvPr>
        <xdr:cNvCxnSpPr>
          <a:cxnSpLocks/>
          <a:stCxn id="3" idx="1"/>
        </xdr:cNvCxnSpPr>
      </xdr:nvCxnSpPr>
      <xdr:spPr>
        <a:xfrm flipH="1" flipV="1">
          <a:off x="11940988" y="5011271"/>
          <a:ext cx="753568" cy="47121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45356</xdr:colOff>
      <xdr:row>24</xdr:row>
      <xdr:rowOff>132254</xdr:rowOff>
    </xdr:from>
    <xdr:to>
      <xdr:col>11</xdr:col>
      <xdr:colOff>411480</xdr:colOff>
      <xdr:row>29</xdr:row>
      <xdr:rowOff>57149</xdr:rowOff>
    </xdr:to>
    <xdr:sp macro="" textlink="">
      <xdr:nvSpPr>
        <xdr:cNvPr id="3" name="TextBox 27">
          <a:extLst>
            <a:ext uri="{FF2B5EF4-FFF2-40B4-BE49-F238E27FC236}">
              <a16:creationId xmlns:a16="http://schemas.microsoft.com/office/drawing/2014/main" id="{4AFE0D73-50DA-4978-965F-3A4F3ACE5156}"/>
            </a:ext>
          </a:extLst>
        </xdr:cNvPr>
        <xdr:cNvSpPr txBox="1"/>
      </xdr:nvSpPr>
      <xdr:spPr>
        <a:xfrm>
          <a:off x="12694556" y="5130974"/>
          <a:ext cx="3414124" cy="83929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Input GHG emissions results</a:t>
          </a:r>
          <a:r>
            <a:rPr lang="en-GB" sz="1100" baseline="0"/>
            <a:t> for any further consignments that have been calculated in another workbook, if applicable, and the corresponding % share of the total consignments this represents.</a:t>
          </a:r>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639535</xdr:colOff>
      <xdr:row>9</xdr:row>
      <xdr:rowOff>16783</xdr:rowOff>
    </xdr:from>
    <xdr:to>
      <xdr:col>13</xdr:col>
      <xdr:colOff>911678</xdr:colOff>
      <xdr:row>13</xdr:row>
      <xdr:rowOff>163286</xdr:rowOff>
    </xdr:to>
    <xdr:cxnSp macro="">
      <xdr:nvCxnSpPr>
        <xdr:cNvPr id="64" name="Straight Arrow Connector 5">
          <a:extLst>
            <a:ext uri="{FF2B5EF4-FFF2-40B4-BE49-F238E27FC236}">
              <a16:creationId xmlns:a16="http://schemas.microsoft.com/office/drawing/2014/main" id="{1F73F79A-B7DB-449D-A95D-FED9A3772B76}"/>
            </a:ext>
          </a:extLst>
        </xdr:cNvPr>
        <xdr:cNvCxnSpPr/>
      </xdr:nvCxnSpPr>
      <xdr:spPr>
        <a:xfrm flipH="1" flipV="1">
          <a:off x="15675428" y="2928712"/>
          <a:ext cx="272143" cy="8540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28484</xdr:colOff>
      <xdr:row>8</xdr:row>
      <xdr:rowOff>91440</xdr:rowOff>
    </xdr:from>
    <xdr:to>
      <xdr:col>13</xdr:col>
      <xdr:colOff>0</xdr:colOff>
      <xdr:row>8</xdr:row>
      <xdr:rowOff>91440</xdr:rowOff>
    </xdr:to>
    <xdr:cxnSp macro="">
      <xdr:nvCxnSpPr>
        <xdr:cNvPr id="3" name="Straight Arrow Connector 6">
          <a:extLst>
            <a:ext uri="{FF2B5EF4-FFF2-40B4-BE49-F238E27FC236}">
              <a16:creationId xmlns:a16="http://schemas.microsoft.com/office/drawing/2014/main" id="{90AE4BCC-B244-4C60-928F-24942D8E7656}"/>
            </a:ext>
          </a:extLst>
        </xdr:cNvPr>
        <xdr:cNvCxnSpPr/>
      </xdr:nvCxnSpPr>
      <xdr:spPr>
        <a:xfrm flipH="1" flipV="1">
          <a:off x="14397627" y="2812869"/>
          <a:ext cx="434159" cy="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54428</xdr:colOff>
      <xdr:row>8</xdr:row>
      <xdr:rowOff>95250</xdr:rowOff>
    </xdr:from>
    <xdr:to>
      <xdr:col>13</xdr:col>
      <xdr:colOff>0</xdr:colOff>
      <xdr:row>19</xdr:row>
      <xdr:rowOff>0</xdr:rowOff>
    </xdr:to>
    <xdr:cxnSp macro="">
      <xdr:nvCxnSpPr>
        <xdr:cNvPr id="33" name="Straight Arrow Connector 9">
          <a:extLst>
            <a:ext uri="{FF2B5EF4-FFF2-40B4-BE49-F238E27FC236}">
              <a16:creationId xmlns:a16="http://schemas.microsoft.com/office/drawing/2014/main" id="{A7043B95-0D5D-4068-B236-4FE6DA9B6A99}"/>
            </a:ext>
          </a:extLst>
        </xdr:cNvPr>
        <xdr:cNvCxnSpPr/>
      </xdr:nvCxnSpPr>
      <xdr:spPr>
        <a:xfrm flipH="1">
          <a:off x="14614071" y="2830286"/>
          <a:ext cx="421822" cy="197621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843643</xdr:colOff>
      <xdr:row>4</xdr:row>
      <xdr:rowOff>1102179</xdr:rowOff>
    </xdr:from>
    <xdr:to>
      <xdr:col>13</xdr:col>
      <xdr:colOff>1906</xdr:colOff>
      <xdr:row>6</xdr:row>
      <xdr:rowOff>91440</xdr:rowOff>
    </xdr:to>
    <xdr:cxnSp macro="">
      <xdr:nvCxnSpPr>
        <xdr:cNvPr id="22" name="Straight Arrow Connector 20">
          <a:extLst>
            <a:ext uri="{FF2B5EF4-FFF2-40B4-BE49-F238E27FC236}">
              <a16:creationId xmlns:a16="http://schemas.microsoft.com/office/drawing/2014/main" id="{1877C5FD-7C43-43BF-9A77-8CA2B9544AEE}"/>
            </a:ext>
          </a:extLst>
        </xdr:cNvPr>
        <xdr:cNvCxnSpPr>
          <a:cxnSpLocks/>
        </xdr:cNvCxnSpPr>
      </xdr:nvCxnSpPr>
      <xdr:spPr>
        <a:xfrm flipH="1" flipV="1">
          <a:off x="14246679" y="2095500"/>
          <a:ext cx="587013" cy="3635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59690</xdr:colOff>
      <xdr:row>8</xdr:row>
      <xdr:rowOff>79375</xdr:rowOff>
    </xdr:from>
    <xdr:to>
      <xdr:col>11</xdr:col>
      <xdr:colOff>64862</xdr:colOff>
      <xdr:row>8</xdr:row>
      <xdr:rowOff>79375</xdr:rowOff>
    </xdr:to>
    <xdr:cxnSp macro="">
      <xdr:nvCxnSpPr>
        <xdr:cNvPr id="28" name="Straight Arrow Connector 35">
          <a:extLst>
            <a:ext uri="{FF2B5EF4-FFF2-40B4-BE49-F238E27FC236}">
              <a16:creationId xmlns:a16="http://schemas.microsoft.com/office/drawing/2014/main" id="{BD427CCA-DEA5-4A78-83D1-767FD63B2ABD}"/>
            </a:ext>
          </a:extLst>
        </xdr:cNvPr>
        <xdr:cNvCxnSpPr/>
      </xdr:nvCxnSpPr>
      <xdr:spPr>
        <a:xfrm flipH="1" flipV="1">
          <a:off x="12823190" y="2800804"/>
          <a:ext cx="1325065" cy="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95250</xdr:rowOff>
    </xdr:from>
    <xdr:to>
      <xdr:col>16</xdr:col>
      <xdr:colOff>2815</xdr:colOff>
      <xdr:row>8</xdr:row>
      <xdr:rowOff>131356</xdr:rowOff>
    </xdr:to>
    <xdr:cxnSp macro="">
      <xdr:nvCxnSpPr>
        <xdr:cNvPr id="5" name="Straight Arrow Connector 5">
          <a:extLst>
            <a:ext uri="{FF2B5EF4-FFF2-40B4-BE49-F238E27FC236}">
              <a16:creationId xmlns:a16="http://schemas.microsoft.com/office/drawing/2014/main" id="{59557D79-9971-44AA-9F3E-590062A83BD7}"/>
            </a:ext>
          </a:extLst>
        </xdr:cNvPr>
        <xdr:cNvCxnSpPr/>
      </xdr:nvCxnSpPr>
      <xdr:spPr>
        <a:xfrm flipH="1" flipV="1">
          <a:off x="18015857" y="2816679"/>
          <a:ext cx="1431565" cy="361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846818</xdr:colOff>
      <xdr:row>14</xdr:row>
      <xdr:rowOff>95250</xdr:rowOff>
    </xdr:from>
    <xdr:to>
      <xdr:col>16</xdr:col>
      <xdr:colOff>870857</xdr:colOff>
      <xdr:row>19</xdr:row>
      <xdr:rowOff>0</xdr:rowOff>
    </xdr:to>
    <xdr:cxnSp macro="">
      <xdr:nvCxnSpPr>
        <xdr:cNvPr id="31" name="Straight Arrow Connector 5">
          <a:extLst>
            <a:ext uri="{FF2B5EF4-FFF2-40B4-BE49-F238E27FC236}">
              <a16:creationId xmlns:a16="http://schemas.microsoft.com/office/drawing/2014/main" id="{C116381A-82B2-43E9-AFA9-E14F506B5F8F}"/>
            </a:ext>
          </a:extLst>
        </xdr:cNvPr>
        <xdr:cNvCxnSpPr/>
      </xdr:nvCxnSpPr>
      <xdr:spPr>
        <a:xfrm flipH="1">
          <a:off x="19978461" y="4109357"/>
          <a:ext cx="24039" cy="77243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1078139</xdr:colOff>
      <xdr:row>14</xdr:row>
      <xdr:rowOff>136072</xdr:rowOff>
    </xdr:from>
    <xdr:to>
      <xdr:col>16</xdr:col>
      <xdr:colOff>857250</xdr:colOff>
      <xdr:row>19</xdr:row>
      <xdr:rowOff>0</xdr:rowOff>
    </xdr:to>
    <xdr:cxnSp macro="">
      <xdr:nvCxnSpPr>
        <xdr:cNvPr id="32" name="Straight Arrow Connector 5">
          <a:extLst>
            <a:ext uri="{FF2B5EF4-FFF2-40B4-BE49-F238E27FC236}">
              <a16:creationId xmlns:a16="http://schemas.microsoft.com/office/drawing/2014/main" id="{C67511BA-3413-4AB3-80EE-CB6515D203A1}"/>
            </a:ext>
          </a:extLst>
        </xdr:cNvPr>
        <xdr:cNvCxnSpPr/>
      </xdr:nvCxnSpPr>
      <xdr:spPr>
        <a:xfrm flipH="1">
          <a:off x="18753818" y="4150179"/>
          <a:ext cx="1235075" cy="7075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698725</xdr:colOff>
      <xdr:row>15</xdr:row>
      <xdr:rowOff>87287</xdr:rowOff>
    </xdr:from>
    <xdr:to>
      <xdr:col>18</xdr:col>
      <xdr:colOff>114300</xdr:colOff>
      <xdr:row>19</xdr:row>
      <xdr:rowOff>123825</xdr:rowOff>
    </xdr:to>
    <xdr:cxnSp macro="">
      <xdr:nvCxnSpPr>
        <xdr:cNvPr id="34" name="Straight Arrow Connector 5">
          <a:extLst>
            <a:ext uri="{FF2B5EF4-FFF2-40B4-BE49-F238E27FC236}">
              <a16:creationId xmlns:a16="http://schemas.microsoft.com/office/drawing/2014/main" id="{87A25FA4-C9E1-4BBB-9226-ABB466145FE0}"/>
            </a:ext>
          </a:extLst>
        </xdr:cNvPr>
        <xdr:cNvCxnSpPr>
          <a:stCxn id="9" idx="2"/>
        </xdr:cNvCxnSpPr>
      </xdr:nvCxnSpPr>
      <xdr:spPr>
        <a:xfrm>
          <a:off x="20615500" y="4144937"/>
          <a:ext cx="891950" cy="76043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168999</xdr:colOff>
      <xdr:row>13</xdr:row>
      <xdr:rowOff>136071</xdr:rowOff>
    </xdr:from>
    <xdr:to>
      <xdr:col>15</xdr:col>
      <xdr:colOff>247650</xdr:colOff>
      <xdr:row>17</xdr:row>
      <xdr:rowOff>15241</xdr:rowOff>
    </xdr:to>
    <xdr:sp macro="" textlink="">
      <xdr:nvSpPr>
        <xdr:cNvPr id="51" name="TextBox 10">
          <a:extLst>
            <a:ext uri="{FF2B5EF4-FFF2-40B4-BE49-F238E27FC236}">
              <a16:creationId xmlns:a16="http://schemas.microsoft.com/office/drawing/2014/main" id="{C95364B4-A7A9-4257-82A4-DFCC58B9CF0F}"/>
            </a:ext>
          </a:extLst>
        </xdr:cNvPr>
        <xdr:cNvSpPr txBox="1"/>
      </xdr:nvSpPr>
      <xdr:spPr>
        <a:xfrm>
          <a:off x="14732724" y="3831771"/>
          <a:ext cx="2574201" cy="60307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based on the electricity/heat inputs and hydrogen output.</a:t>
          </a:r>
          <a:endParaRPr lang="en-GB" sz="1100"/>
        </a:p>
      </xdr:txBody>
    </xdr:sp>
    <xdr:clientData/>
  </xdr:twoCellAnchor>
  <xdr:twoCellAnchor>
    <xdr:from>
      <xdr:col>15</xdr:col>
      <xdr:colOff>1436007</xdr:colOff>
      <xdr:row>7</xdr:row>
      <xdr:rowOff>87993</xdr:rowOff>
    </xdr:from>
    <xdr:to>
      <xdr:col>18</xdr:col>
      <xdr:colOff>10432</xdr:colOff>
      <xdr:row>10</xdr:row>
      <xdr:rowOff>190500</xdr:rowOff>
    </xdr:to>
    <xdr:sp macro="" textlink="">
      <xdr:nvSpPr>
        <xdr:cNvPr id="37" name="TextBox 11">
          <a:extLst>
            <a:ext uri="{FF2B5EF4-FFF2-40B4-BE49-F238E27FC236}">
              <a16:creationId xmlns:a16="http://schemas.microsoft.com/office/drawing/2014/main" id="{312B19F3-5A0D-470F-9BCC-073D65F61423}"/>
            </a:ext>
          </a:extLst>
        </xdr:cNvPr>
        <xdr:cNvSpPr txBox="1"/>
      </xdr:nvSpPr>
      <xdr:spPr>
        <a:xfrm>
          <a:off x="19179721" y="2646136"/>
          <a:ext cx="2615747" cy="63318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allocation factor is calculated based on the LHV energy content of all products and co-products.</a:t>
          </a:r>
        </a:p>
      </xdr:txBody>
    </xdr:sp>
    <xdr:clientData/>
  </xdr:twoCellAnchor>
  <xdr:twoCellAnchor>
    <xdr:from>
      <xdr:col>13</xdr:col>
      <xdr:colOff>634</xdr:colOff>
      <xdr:row>5</xdr:row>
      <xdr:rowOff>91440</xdr:rowOff>
    </xdr:from>
    <xdr:to>
      <xdr:col>16</xdr:col>
      <xdr:colOff>816428</xdr:colOff>
      <xdr:row>7</xdr:row>
      <xdr:rowOff>27214</xdr:rowOff>
    </xdr:to>
    <xdr:sp macro="" textlink="">
      <xdr:nvSpPr>
        <xdr:cNvPr id="21" name="TextBox 13">
          <a:extLst>
            <a:ext uri="{FF2B5EF4-FFF2-40B4-BE49-F238E27FC236}">
              <a16:creationId xmlns:a16="http://schemas.microsoft.com/office/drawing/2014/main" id="{75375DA2-361A-45D7-B802-DFD0968FC078}"/>
            </a:ext>
          </a:extLst>
        </xdr:cNvPr>
        <xdr:cNvSpPr txBox="1"/>
      </xdr:nvSpPr>
      <xdr:spPr>
        <a:xfrm>
          <a:off x="14832420" y="2268583"/>
          <a:ext cx="4734651" cy="3031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a:t>
          </a:r>
        </a:p>
      </xdr:txBody>
    </xdr:sp>
    <xdr:clientData/>
  </xdr:twoCellAnchor>
  <xdr:twoCellAnchor>
    <xdr:from>
      <xdr:col>1</xdr:col>
      <xdr:colOff>11550</xdr:colOff>
      <xdr:row>4</xdr:row>
      <xdr:rowOff>7436</xdr:rowOff>
    </xdr:from>
    <xdr:to>
      <xdr:col>2</xdr:col>
      <xdr:colOff>2387599</xdr:colOff>
      <xdr:row>4</xdr:row>
      <xdr:rowOff>835566</xdr:rowOff>
    </xdr:to>
    <xdr:sp macro="" textlink="">
      <xdr:nvSpPr>
        <xdr:cNvPr id="23" name="TextBox 17">
          <a:extLst>
            <a:ext uri="{FF2B5EF4-FFF2-40B4-BE49-F238E27FC236}">
              <a16:creationId xmlns:a16="http://schemas.microsoft.com/office/drawing/2014/main" id="{2CBCF78C-4D14-4743-ACE4-8C2A9D2BD09C}"/>
            </a:ext>
          </a:extLst>
        </xdr:cNvPr>
        <xdr:cNvSpPr txBox="1"/>
      </xdr:nvSpPr>
      <xdr:spPr>
        <a:xfrm>
          <a:off x="299417" y="1065769"/>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15</xdr:col>
      <xdr:colOff>1285873</xdr:colOff>
      <xdr:row>11</xdr:row>
      <xdr:rowOff>167911</xdr:rowOff>
    </xdr:from>
    <xdr:to>
      <xdr:col>19</xdr:col>
      <xdr:colOff>105862</xdr:colOff>
      <xdr:row>15</xdr:row>
      <xdr:rowOff>85382</xdr:rowOff>
    </xdr:to>
    <xdr:sp macro="" textlink="">
      <xdr:nvSpPr>
        <xdr:cNvPr id="9" name="TextBox 27">
          <a:extLst>
            <a:ext uri="{FF2B5EF4-FFF2-40B4-BE49-F238E27FC236}">
              <a16:creationId xmlns:a16="http://schemas.microsoft.com/office/drawing/2014/main" id="{CD07B94D-CA09-4EB6-B3A0-39B11C0789DA}"/>
            </a:ext>
          </a:extLst>
        </xdr:cNvPr>
        <xdr:cNvSpPr txBox="1"/>
      </xdr:nvSpPr>
      <xdr:spPr>
        <a:xfrm>
          <a:off x="18345148" y="3501661"/>
          <a:ext cx="4544514" cy="64137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GHG intensity of each input/output is used to calculate the total emissions from each category on a /MJ main output basis. Note</a:t>
          </a:r>
          <a:r>
            <a:rPr lang="en-GB" sz="1100" baseline="0"/>
            <a:t> the GHG intensity has units gCO</a:t>
          </a:r>
          <a:r>
            <a:rPr lang="en-GB" sz="1100" baseline="-25000"/>
            <a:t>2</a:t>
          </a:r>
          <a:r>
            <a:rPr lang="en-GB" sz="1100" baseline="0"/>
            <a:t>e/kg for flows with tonnes/yr units.</a:t>
          </a:r>
          <a:endParaRPr lang="en-GB" sz="1100"/>
        </a:p>
      </xdr:txBody>
    </xdr:sp>
    <xdr:clientData/>
  </xdr:twoCellAnchor>
  <xdr:twoCellAnchor>
    <xdr:from>
      <xdr:col>12</xdr:col>
      <xdr:colOff>25309</xdr:colOff>
      <xdr:row>8</xdr:row>
      <xdr:rowOff>132261</xdr:rowOff>
    </xdr:from>
    <xdr:to>
      <xdr:col>12</xdr:col>
      <xdr:colOff>472440</xdr:colOff>
      <xdr:row>24</xdr:row>
      <xdr:rowOff>330653</xdr:rowOff>
    </xdr:to>
    <xdr:cxnSp macro="">
      <xdr:nvCxnSpPr>
        <xdr:cNvPr id="16" name="Straight Arrow Connector 9">
          <a:extLst>
            <a:ext uri="{FF2B5EF4-FFF2-40B4-BE49-F238E27FC236}">
              <a16:creationId xmlns:a16="http://schemas.microsoft.com/office/drawing/2014/main" id="{701E8559-AB6D-441B-ACF0-3E46433D11BA}"/>
            </a:ext>
          </a:extLst>
        </xdr:cNvPr>
        <xdr:cNvCxnSpPr/>
      </xdr:nvCxnSpPr>
      <xdr:spPr>
        <a:xfrm flipH="1">
          <a:off x="15074809" y="2853690"/>
          <a:ext cx="447131" cy="3845106"/>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13607</xdr:colOff>
      <xdr:row>8</xdr:row>
      <xdr:rowOff>159475</xdr:rowOff>
    </xdr:from>
    <xdr:to>
      <xdr:col>13</xdr:col>
      <xdr:colOff>35106</xdr:colOff>
      <xdr:row>28</xdr:row>
      <xdr:rowOff>246833</xdr:rowOff>
    </xdr:to>
    <xdr:cxnSp macro="">
      <xdr:nvCxnSpPr>
        <xdr:cNvPr id="17" name="Straight Arrow Connector 9">
          <a:extLst>
            <a:ext uri="{FF2B5EF4-FFF2-40B4-BE49-F238E27FC236}">
              <a16:creationId xmlns:a16="http://schemas.microsoft.com/office/drawing/2014/main" id="{DB59B409-1378-4C11-9074-CBC9260A2ECF}"/>
            </a:ext>
          </a:extLst>
        </xdr:cNvPr>
        <xdr:cNvCxnSpPr/>
      </xdr:nvCxnSpPr>
      <xdr:spPr>
        <a:xfrm flipH="1">
          <a:off x="15063107" y="2880904"/>
          <a:ext cx="497749" cy="5040358"/>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21227</xdr:colOff>
      <xdr:row>9</xdr:row>
      <xdr:rowOff>7620</xdr:rowOff>
    </xdr:from>
    <xdr:to>
      <xdr:col>13</xdr:col>
      <xdr:colOff>60416</xdr:colOff>
      <xdr:row>32</xdr:row>
      <xdr:rowOff>359501</xdr:rowOff>
    </xdr:to>
    <xdr:cxnSp macro="">
      <xdr:nvCxnSpPr>
        <xdr:cNvPr id="18" name="Straight Arrow Connector 9">
          <a:extLst>
            <a:ext uri="{FF2B5EF4-FFF2-40B4-BE49-F238E27FC236}">
              <a16:creationId xmlns:a16="http://schemas.microsoft.com/office/drawing/2014/main" id="{93EEBA12-4005-4304-9B5B-9D1A7D0BD858}"/>
            </a:ext>
          </a:extLst>
        </xdr:cNvPr>
        <xdr:cNvCxnSpPr/>
      </xdr:nvCxnSpPr>
      <xdr:spPr>
        <a:xfrm flipH="1">
          <a:off x="15070727" y="2905941"/>
          <a:ext cx="515439" cy="6434274"/>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BCK_UP/00depre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eciation"/>
    </sheetNames>
    <sheetDataSet>
      <sheetData sheetId="0" refreshError="1"/>
    </sheetDataSet>
  </externalBook>
</externalLink>
</file>

<file path=xl/theme/theme1.xml><?xml version="1.0" encoding="utf-8"?>
<a:theme xmlns:a="http://schemas.openxmlformats.org/drawingml/2006/main" name="E4Tech_theme">
  <a:themeElements>
    <a:clrScheme name="Custom 1">
      <a:dk1>
        <a:srgbClr val="000000"/>
      </a:dk1>
      <a:lt1>
        <a:srgbClr val="FFFFFF"/>
      </a:lt1>
      <a:dk2>
        <a:srgbClr val="000098"/>
      </a:dk2>
      <a:lt2>
        <a:srgbClr val="D8D9DB"/>
      </a:lt2>
      <a:accent1>
        <a:srgbClr val="1B429A"/>
      </a:accent1>
      <a:accent2>
        <a:srgbClr val="1383BD"/>
      </a:accent2>
      <a:accent3>
        <a:srgbClr val="6AB0E0"/>
      </a:accent3>
      <a:accent4>
        <a:srgbClr val="957FB5"/>
      </a:accent4>
      <a:accent5>
        <a:srgbClr val="4B8A60"/>
      </a:accent5>
      <a:accent6>
        <a:srgbClr val="8CB57E"/>
      </a:accent6>
      <a:hlink>
        <a:srgbClr val="001D4F"/>
      </a:hlink>
      <a:folHlink>
        <a:srgbClr val="001D4F"/>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10" Type="http://schemas.openxmlformats.org/officeDocument/2006/relationships/comments" Target="../comments1.xml"/><Relationship Id="rId4" Type="http://schemas.openxmlformats.org/officeDocument/2006/relationships/printerSettings" Target="../printerSettings/printerSettings44.bin"/><Relationship Id="rId9"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8" Type="http://schemas.openxmlformats.org/officeDocument/2006/relationships/hyperlink" Target="https://assets.publishing.service.gov.uk/government/uploads/system/uploads/attachment_data/file/694277/rtfo-guidance-part-1-process-guidance-year-11.pdf" TargetMode="External"/><Relationship Id="rId13" Type="http://schemas.openxmlformats.org/officeDocument/2006/relationships/hyperlink" Target="https://www.gov.uk/government/publications/biofuels-carbon-calculator-rtfo" TargetMode="External"/><Relationship Id="rId18" Type="http://schemas.openxmlformats.org/officeDocument/2006/relationships/hyperlink" Target="https://www.gov.uk/government/consultations/designing-a-uk-low-carbon-hydrogen-standard" TargetMode="External"/><Relationship Id="rId3" Type="http://schemas.openxmlformats.org/officeDocument/2006/relationships/printerSettings" Target="../printerSettings/printerSettings51.bin"/><Relationship Id="rId21" Type="http://schemas.openxmlformats.org/officeDocument/2006/relationships/hyperlink" Target="https://www.gov.uk/government/publications/renewable-transport-fuel-obligation-rtfo-compliance-reporting-and-verification" TargetMode="External"/><Relationship Id="rId7" Type="http://schemas.openxmlformats.org/officeDocument/2006/relationships/printerSettings" Target="../printerSettings/printerSettings55.bin"/><Relationship Id="rId12" Type="http://schemas.openxmlformats.org/officeDocument/2006/relationships/hyperlink" Target="https://assets.publishing.service.gov.uk/government/uploads/system/uploads/attachment_data/file/947712/carbon-intensity-data-templates-2021.ods" TargetMode="External"/><Relationship Id="rId17" Type="http://schemas.openxmlformats.org/officeDocument/2006/relationships/hyperlink" Target="https://assets.publishing.service.gov.uk/government/uploads/system/uploads/attachment_data/file/1067394/low-carbon-hydrogen-standard-guidance-data-tables.pdf" TargetMode="External"/><Relationship Id="rId2" Type="http://schemas.openxmlformats.org/officeDocument/2006/relationships/printerSettings" Target="../printerSettings/printerSettings50.bin"/><Relationship Id="rId16" Type="http://schemas.openxmlformats.org/officeDocument/2006/relationships/hyperlink" Target="http://www.element-energy.co.uk/wordpress/wp-content/uploads/2021/08/Zemo-Low-Carbon-Hydrogen-WTT-Pathways-full-report.pdf" TargetMode="External"/><Relationship Id="rId20" Type="http://schemas.openxmlformats.org/officeDocument/2006/relationships/hyperlink" Target="https://assets.publishing.service.gov.uk/government/uploads/system/uploads/attachment_data/file/1067393/low-carbon-hydrogen-standard-guidance-annexes.pdf" TargetMode="External"/><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hyperlink" Target="https://eur-lex.europa.eu/legal-content/EN/TXT/PDF/?uri=CELEX:32018L2001&amp;from=EN" TargetMode="External"/><Relationship Id="rId5" Type="http://schemas.openxmlformats.org/officeDocument/2006/relationships/printerSettings" Target="../printerSettings/printerSettings53.bin"/><Relationship Id="rId15" Type="http://schemas.openxmlformats.org/officeDocument/2006/relationships/hyperlink" Target="https://web.archive.org/web/20190605065129/http:/www.arb.ca.gov/fuels/lcfs/workgroups/lcfssustain/ISCC_EU_205_GHG_Calculation_and_GHG_Audit_2.3_eng.pdf" TargetMode="External"/><Relationship Id="rId10" Type="http://schemas.openxmlformats.org/officeDocument/2006/relationships/hyperlink" Target="https://ec.europa.eu/jrc/en/jec/renewable-energy-recast-2030-red-ii" TargetMode="External"/><Relationship Id="rId19" Type="http://schemas.openxmlformats.org/officeDocument/2006/relationships/hyperlink" Target="https://assets.publishing.service.gov.uk/government/uploads/system/uploads/attachment_data/file/1067392/low-carbon-hydrogen-standard-guidance.pdf" TargetMode="External"/><Relationship Id="rId4" Type="http://schemas.openxmlformats.org/officeDocument/2006/relationships/printerSettings" Target="../printerSettings/printerSettings52.bin"/><Relationship Id="rId9" Type="http://schemas.openxmlformats.org/officeDocument/2006/relationships/hyperlink" Target="https://ec.europa.eu/jrc/en/publication/eur-scientific-and-technical-research-reports/jec-well-tank-report-v5" TargetMode="External"/><Relationship Id="rId14" Type="http://schemas.openxmlformats.org/officeDocument/2006/relationships/hyperlink" Target="https://ec.europa.eu/jrc/en/publication/eur-scientific-and-technical-research-reports/solid-and-gaseous-bioenergy-pathways-input-values-and-ghg-emissions-calculated-according-0" TargetMode="External"/><Relationship Id="rId22" Type="http://schemas.openxmlformats.org/officeDocument/2006/relationships/printerSettings" Target="../printerSettings/printerSettings5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96.bin"/><Relationship Id="rId3" Type="http://schemas.openxmlformats.org/officeDocument/2006/relationships/printerSettings" Target="../printerSettings/printerSettings91.bin"/><Relationship Id="rId7" Type="http://schemas.openxmlformats.org/officeDocument/2006/relationships/printerSettings" Target="../printerSettings/printerSettings95.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1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20.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 Id="rId9"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comments" Target="../comments2.xml"/><Relationship Id="rId5" Type="http://schemas.openxmlformats.org/officeDocument/2006/relationships/printerSettings" Target="../printerSettings/printerSettings125.bin"/><Relationship Id="rId10" Type="http://schemas.openxmlformats.org/officeDocument/2006/relationships/vmlDrawing" Target="../drawings/vmlDrawing2.vml"/><Relationship Id="rId4" Type="http://schemas.openxmlformats.org/officeDocument/2006/relationships/printerSettings" Target="../printerSettings/printerSettings124.bin"/><Relationship Id="rId9"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36.bin"/><Relationship Id="rId3" Type="http://schemas.openxmlformats.org/officeDocument/2006/relationships/printerSettings" Target="../printerSettings/printerSettings131.bin"/><Relationship Id="rId7" Type="http://schemas.openxmlformats.org/officeDocument/2006/relationships/printerSettings" Target="../printerSettings/printerSettings135.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11" Type="http://schemas.openxmlformats.org/officeDocument/2006/relationships/comments" Target="../comments3.xml"/><Relationship Id="rId5" Type="http://schemas.openxmlformats.org/officeDocument/2006/relationships/printerSettings" Target="../printerSettings/printerSettings133.bin"/><Relationship Id="rId10" Type="http://schemas.openxmlformats.org/officeDocument/2006/relationships/vmlDrawing" Target="../drawings/vmlDrawing3.vml"/><Relationship Id="rId4" Type="http://schemas.openxmlformats.org/officeDocument/2006/relationships/printerSettings" Target="../printerSettings/printerSettings132.bin"/><Relationship Id="rId9"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comments" Target="../comments4.xml"/><Relationship Id="rId5" Type="http://schemas.openxmlformats.org/officeDocument/2006/relationships/printerSettings" Target="../printerSettings/printerSettings141.bin"/><Relationship Id="rId10" Type="http://schemas.openxmlformats.org/officeDocument/2006/relationships/vmlDrawing" Target="../drawings/vmlDrawing4.vml"/><Relationship Id="rId4" Type="http://schemas.openxmlformats.org/officeDocument/2006/relationships/printerSettings" Target="../printerSettings/printerSettings140.bin"/><Relationship Id="rId9" Type="http://schemas.openxmlformats.org/officeDocument/2006/relationships/drawing" Target="../drawings/drawing12.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11" Type="http://schemas.openxmlformats.org/officeDocument/2006/relationships/comments" Target="../comments5.xml"/><Relationship Id="rId5" Type="http://schemas.openxmlformats.org/officeDocument/2006/relationships/printerSettings" Target="../printerSettings/printerSettings149.bin"/><Relationship Id="rId10" Type="http://schemas.openxmlformats.org/officeDocument/2006/relationships/vmlDrawing" Target="../drawings/vmlDrawing5.vml"/><Relationship Id="rId4" Type="http://schemas.openxmlformats.org/officeDocument/2006/relationships/printerSettings" Target="../printerSettings/printerSettings148.bin"/><Relationship Id="rId9" Type="http://schemas.openxmlformats.org/officeDocument/2006/relationships/drawing" Target="../drawings/drawing13.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160.bin"/><Relationship Id="rId3" Type="http://schemas.openxmlformats.org/officeDocument/2006/relationships/printerSettings" Target="../printerSettings/printerSettings155.bin"/><Relationship Id="rId7" Type="http://schemas.openxmlformats.org/officeDocument/2006/relationships/printerSettings" Target="../printerSettings/printerSettings159.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11" Type="http://schemas.openxmlformats.org/officeDocument/2006/relationships/comments" Target="../comments6.xml"/><Relationship Id="rId5" Type="http://schemas.openxmlformats.org/officeDocument/2006/relationships/printerSettings" Target="../printerSettings/printerSettings157.bin"/><Relationship Id="rId10" Type="http://schemas.openxmlformats.org/officeDocument/2006/relationships/vmlDrawing" Target="../drawings/vmlDrawing6.vml"/><Relationship Id="rId4" Type="http://schemas.openxmlformats.org/officeDocument/2006/relationships/printerSettings" Target="../printerSettings/printerSettings156.bin"/><Relationship Id="rId9" Type="http://schemas.openxmlformats.org/officeDocument/2006/relationships/drawing" Target="../drawings/drawing14.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comments" Target="../comments7.xml"/><Relationship Id="rId5" Type="http://schemas.openxmlformats.org/officeDocument/2006/relationships/printerSettings" Target="../printerSettings/printerSettings165.bin"/><Relationship Id="rId10" Type="http://schemas.openxmlformats.org/officeDocument/2006/relationships/vmlDrawing" Target="../drawings/vmlDrawing7.vml"/><Relationship Id="rId4" Type="http://schemas.openxmlformats.org/officeDocument/2006/relationships/printerSettings" Target="../printerSettings/printerSettings164.bin"/><Relationship Id="rId9" Type="http://schemas.openxmlformats.org/officeDocument/2006/relationships/drawing" Target="../drawings/drawing15.x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17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11" Type="http://schemas.openxmlformats.org/officeDocument/2006/relationships/comments" Target="../comments8.xml"/><Relationship Id="rId5" Type="http://schemas.openxmlformats.org/officeDocument/2006/relationships/printerSettings" Target="../printerSettings/printerSettings173.bin"/><Relationship Id="rId10" Type="http://schemas.openxmlformats.org/officeDocument/2006/relationships/vmlDrawing" Target="../drawings/vmlDrawing8.vml"/><Relationship Id="rId4" Type="http://schemas.openxmlformats.org/officeDocument/2006/relationships/printerSettings" Target="../printerSettings/printerSettings172.bin"/><Relationship Id="rId9" Type="http://schemas.openxmlformats.org/officeDocument/2006/relationships/drawing" Target="../drawings/drawing16.xm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18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11" Type="http://schemas.openxmlformats.org/officeDocument/2006/relationships/comments" Target="../comments9.xml"/><Relationship Id="rId5" Type="http://schemas.openxmlformats.org/officeDocument/2006/relationships/printerSettings" Target="../printerSettings/printerSettings181.bin"/><Relationship Id="rId10" Type="http://schemas.openxmlformats.org/officeDocument/2006/relationships/vmlDrawing" Target="../drawings/vmlDrawing9.vml"/><Relationship Id="rId4" Type="http://schemas.openxmlformats.org/officeDocument/2006/relationships/printerSettings" Target="../printerSettings/printerSettings180.bin"/><Relationship Id="rId9"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printerSettings" Target="../printerSettings/printerSettings187.bin"/><Relationship Id="rId7" Type="http://schemas.openxmlformats.org/officeDocument/2006/relationships/printerSettings" Target="../printerSettings/printerSettings191.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11" Type="http://schemas.openxmlformats.org/officeDocument/2006/relationships/comments" Target="../comments10.xml"/><Relationship Id="rId5" Type="http://schemas.openxmlformats.org/officeDocument/2006/relationships/printerSettings" Target="../printerSettings/printerSettings189.bin"/><Relationship Id="rId10" Type="http://schemas.openxmlformats.org/officeDocument/2006/relationships/vmlDrawing" Target="../drawings/vmlDrawing10.vml"/><Relationship Id="rId4" Type="http://schemas.openxmlformats.org/officeDocument/2006/relationships/printerSettings" Target="../printerSettings/printerSettings188.bin"/><Relationship Id="rId9" Type="http://schemas.openxmlformats.org/officeDocument/2006/relationships/drawing" Target="../drawings/drawing18.xm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comments" Target="../comments11.xml"/><Relationship Id="rId5" Type="http://schemas.openxmlformats.org/officeDocument/2006/relationships/printerSettings" Target="../printerSettings/printerSettings197.bin"/><Relationship Id="rId10" Type="http://schemas.openxmlformats.org/officeDocument/2006/relationships/vmlDrawing" Target="../drawings/vmlDrawing11.vml"/><Relationship Id="rId4" Type="http://schemas.openxmlformats.org/officeDocument/2006/relationships/printerSettings" Target="../printerSettings/printerSettings196.bin"/><Relationship Id="rId9"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 Id="rId9"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08.bin"/><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11" Type="http://schemas.openxmlformats.org/officeDocument/2006/relationships/comments" Target="../comments12.xml"/><Relationship Id="rId5" Type="http://schemas.openxmlformats.org/officeDocument/2006/relationships/printerSettings" Target="../printerSettings/printerSettings205.bin"/><Relationship Id="rId10" Type="http://schemas.openxmlformats.org/officeDocument/2006/relationships/vmlDrawing" Target="../drawings/vmlDrawing12.vml"/><Relationship Id="rId4" Type="http://schemas.openxmlformats.org/officeDocument/2006/relationships/printerSettings" Target="../printerSettings/printerSettings204.bin"/><Relationship Id="rId9" Type="http://schemas.openxmlformats.org/officeDocument/2006/relationships/drawing" Target="../drawings/drawing20.xm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16.bin"/><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11" Type="http://schemas.openxmlformats.org/officeDocument/2006/relationships/comments" Target="../comments13.xml"/><Relationship Id="rId5" Type="http://schemas.openxmlformats.org/officeDocument/2006/relationships/printerSettings" Target="../printerSettings/printerSettings213.bin"/><Relationship Id="rId10" Type="http://schemas.openxmlformats.org/officeDocument/2006/relationships/vmlDrawing" Target="../drawings/vmlDrawing13.vml"/><Relationship Id="rId4" Type="http://schemas.openxmlformats.org/officeDocument/2006/relationships/printerSettings" Target="../printerSettings/printerSettings212.bin"/><Relationship Id="rId9" Type="http://schemas.openxmlformats.org/officeDocument/2006/relationships/drawing" Target="../drawings/drawing21.xm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11" Type="http://schemas.openxmlformats.org/officeDocument/2006/relationships/comments" Target="../comments14.xml"/><Relationship Id="rId5" Type="http://schemas.openxmlformats.org/officeDocument/2006/relationships/printerSettings" Target="../printerSettings/printerSettings221.bin"/><Relationship Id="rId10" Type="http://schemas.openxmlformats.org/officeDocument/2006/relationships/vmlDrawing" Target="../drawings/vmlDrawing14.vml"/><Relationship Id="rId4" Type="http://schemas.openxmlformats.org/officeDocument/2006/relationships/printerSettings" Target="../printerSettings/printerSettings220.bin"/><Relationship Id="rId9" Type="http://schemas.openxmlformats.org/officeDocument/2006/relationships/drawing" Target="../drawings/drawing22.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32.bin"/><Relationship Id="rId3" Type="http://schemas.openxmlformats.org/officeDocument/2006/relationships/printerSettings" Target="../printerSettings/printerSettings227.bin"/><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11" Type="http://schemas.openxmlformats.org/officeDocument/2006/relationships/comments" Target="../comments15.xml"/><Relationship Id="rId5" Type="http://schemas.openxmlformats.org/officeDocument/2006/relationships/printerSettings" Target="../printerSettings/printerSettings229.bin"/><Relationship Id="rId10" Type="http://schemas.openxmlformats.org/officeDocument/2006/relationships/vmlDrawing" Target="../drawings/vmlDrawing15.vml"/><Relationship Id="rId4" Type="http://schemas.openxmlformats.org/officeDocument/2006/relationships/printerSettings" Target="../printerSettings/printerSettings228.bin"/><Relationship Id="rId9" Type="http://schemas.openxmlformats.org/officeDocument/2006/relationships/drawing" Target="../drawings/drawing23.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240.bin"/><Relationship Id="rId3" Type="http://schemas.openxmlformats.org/officeDocument/2006/relationships/printerSettings" Target="../printerSettings/printerSettings235.bin"/><Relationship Id="rId7" Type="http://schemas.openxmlformats.org/officeDocument/2006/relationships/printerSettings" Target="../printerSettings/printerSettings239.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6" Type="http://schemas.openxmlformats.org/officeDocument/2006/relationships/printerSettings" Target="../printerSettings/printerSettings238.bin"/><Relationship Id="rId11" Type="http://schemas.openxmlformats.org/officeDocument/2006/relationships/comments" Target="../comments16.xml"/><Relationship Id="rId5" Type="http://schemas.openxmlformats.org/officeDocument/2006/relationships/printerSettings" Target="../printerSettings/printerSettings237.bin"/><Relationship Id="rId10" Type="http://schemas.openxmlformats.org/officeDocument/2006/relationships/vmlDrawing" Target="../drawings/vmlDrawing16.vml"/><Relationship Id="rId4" Type="http://schemas.openxmlformats.org/officeDocument/2006/relationships/printerSettings" Target="../printerSettings/printerSettings236.bin"/><Relationship Id="rId9" Type="http://schemas.openxmlformats.org/officeDocument/2006/relationships/drawing" Target="../drawings/drawing24.xm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11" Type="http://schemas.openxmlformats.org/officeDocument/2006/relationships/comments" Target="../comments17.xml"/><Relationship Id="rId5" Type="http://schemas.openxmlformats.org/officeDocument/2006/relationships/printerSettings" Target="../printerSettings/printerSettings245.bin"/><Relationship Id="rId10" Type="http://schemas.openxmlformats.org/officeDocument/2006/relationships/vmlDrawing" Target="../drawings/vmlDrawing17.vml"/><Relationship Id="rId4" Type="http://schemas.openxmlformats.org/officeDocument/2006/relationships/printerSettings" Target="../printerSettings/printerSettings244.bin"/><Relationship Id="rId9" Type="http://schemas.openxmlformats.org/officeDocument/2006/relationships/drawing" Target="../drawings/drawing25.xml"/></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256.bin"/><Relationship Id="rId3" Type="http://schemas.openxmlformats.org/officeDocument/2006/relationships/printerSettings" Target="../printerSettings/printerSettings251.bin"/><Relationship Id="rId7" Type="http://schemas.openxmlformats.org/officeDocument/2006/relationships/printerSettings" Target="../printerSettings/printerSettings255.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comments" Target="../comments18.xml"/><Relationship Id="rId5" Type="http://schemas.openxmlformats.org/officeDocument/2006/relationships/printerSettings" Target="../printerSettings/printerSettings253.bin"/><Relationship Id="rId10" Type="http://schemas.openxmlformats.org/officeDocument/2006/relationships/vmlDrawing" Target="../drawings/vmlDrawing18.vml"/><Relationship Id="rId4" Type="http://schemas.openxmlformats.org/officeDocument/2006/relationships/printerSettings" Target="../printerSettings/printerSettings252.bin"/><Relationship Id="rId9" Type="http://schemas.openxmlformats.org/officeDocument/2006/relationships/drawing" Target="../drawings/drawing26.xm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264.bin"/><Relationship Id="rId3" Type="http://schemas.openxmlformats.org/officeDocument/2006/relationships/printerSettings" Target="../printerSettings/printerSettings259.bin"/><Relationship Id="rId7" Type="http://schemas.openxmlformats.org/officeDocument/2006/relationships/printerSettings" Target="../printerSettings/printerSettings263.bin"/><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6" Type="http://schemas.openxmlformats.org/officeDocument/2006/relationships/printerSettings" Target="../printerSettings/printerSettings262.bin"/><Relationship Id="rId11" Type="http://schemas.openxmlformats.org/officeDocument/2006/relationships/comments" Target="../comments19.xml"/><Relationship Id="rId5" Type="http://schemas.openxmlformats.org/officeDocument/2006/relationships/printerSettings" Target="../printerSettings/printerSettings261.bin"/><Relationship Id="rId10" Type="http://schemas.openxmlformats.org/officeDocument/2006/relationships/vmlDrawing" Target="../drawings/vmlDrawing19.vml"/><Relationship Id="rId4" Type="http://schemas.openxmlformats.org/officeDocument/2006/relationships/printerSettings" Target="../printerSettings/printerSettings260.bin"/><Relationship Id="rId9" Type="http://schemas.openxmlformats.org/officeDocument/2006/relationships/drawing" Target="../drawings/drawing27.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8.xm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272.bin"/><Relationship Id="rId3" Type="http://schemas.openxmlformats.org/officeDocument/2006/relationships/printerSettings" Target="../printerSettings/printerSettings267.bin"/><Relationship Id="rId7" Type="http://schemas.openxmlformats.org/officeDocument/2006/relationships/printerSettings" Target="../printerSettings/printerSettings271.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6" Type="http://schemas.openxmlformats.org/officeDocument/2006/relationships/printerSettings" Target="../printerSettings/printerSettings270.bin"/><Relationship Id="rId11" Type="http://schemas.openxmlformats.org/officeDocument/2006/relationships/comments" Target="../comments21.xml"/><Relationship Id="rId5" Type="http://schemas.openxmlformats.org/officeDocument/2006/relationships/printerSettings" Target="../printerSettings/printerSettings269.bin"/><Relationship Id="rId10" Type="http://schemas.openxmlformats.org/officeDocument/2006/relationships/vmlDrawing" Target="../drawings/vmlDrawing21.vml"/><Relationship Id="rId4" Type="http://schemas.openxmlformats.org/officeDocument/2006/relationships/printerSettings" Target="../printerSettings/printerSettings268.bin"/><Relationship Id="rId9"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280.bin"/><Relationship Id="rId3" Type="http://schemas.openxmlformats.org/officeDocument/2006/relationships/printerSettings" Target="../printerSettings/printerSettings275.bin"/><Relationship Id="rId7" Type="http://schemas.openxmlformats.org/officeDocument/2006/relationships/printerSettings" Target="../printerSettings/printerSettings279.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11" Type="http://schemas.openxmlformats.org/officeDocument/2006/relationships/comments" Target="../comments22.xml"/><Relationship Id="rId5" Type="http://schemas.openxmlformats.org/officeDocument/2006/relationships/printerSettings" Target="../printerSettings/printerSettings277.bin"/><Relationship Id="rId10" Type="http://schemas.openxmlformats.org/officeDocument/2006/relationships/vmlDrawing" Target="../drawings/vmlDrawing22.vml"/><Relationship Id="rId4" Type="http://schemas.openxmlformats.org/officeDocument/2006/relationships/printerSettings" Target="../printerSettings/printerSettings276.bin"/><Relationship Id="rId9" Type="http://schemas.openxmlformats.org/officeDocument/2006/relationships/drawing" Target="../drawings/drawing30.xm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comments" Target="../comments23.xml"/><Relationship Id="rId5" Type="http://schemas.openxmlformats.org/officeDocument/2006/relationships/printerSettings" Target="../printerSettings/printerSettings285.bin"/><Relationship Id="rId10" Type="http://schemas.openxmlformats.org/officeDocument/2006/relationships/vmlDrawing" Target="../drawings/vmlDrawing23.vml"/><Relationship Id="rId4" Type="http://schemas.openxmlformats.org/officeDocument/2006/relationships/printerSettings" Target="../printerSettings/printerSettings284.bin"/><Relationship Id="rId9" Type="http://schemas.openxmlformats.org/officeDocument/2006/relationships/drawing" Target="../drawings/drawing31.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296.bin"/><Relationship Id="rId3" Type="http://schemas.openxmlformats.org/officeDocument/2006/relationships/printerSettings" Target="../printerSettings/printerSettings291.bin"/><Relationship Id="rId7" Type="http://schemas.openxmlformats.org/officeDocument/2006/relationships/printerSettings" Target="../printerSettings/printerSettings295.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comments" Target="../comments24.xml"/><Relationship Id="rId5" Type="http://schemas.openxmlformats.org/officeDocument/2006/relationships/printerSettings" Target="../printerSettings/printerSettings293.bin"/><Relationship Id="rId10" Type="http://schemas.openxmlformats.org/officeDocument/2006/relationships/vmlDrawing" Target="../drawings/vmlDrawing24.vml"/><Relationship Id="rId4" Type="http://schemas.openxmlformats.org/officeDocument/2006/relationships/printerSettings" Target="../printerSettings/printerSettings292.bin"/><Relationship Id="rId9" Type="http://schemas.openxmlformats.org/officeDocument/2006/relationships/drawing" Target="../drawings/drawing3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33.xm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304.bin"/><Relationship Id="rId3" Type="http://schemas.openxmlformats.org/officeDocument/2006/relationships/printerSettings" Target="../printerSettings/printerSettings299.bin"/><Relationship Id="rId7" Type="http://schemas.openxmlformats.org/officeDocument/2006/relationships/printerSettings" Target="../printerSettings/printerSettings303.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6" Type="http://schemas.openxmlformats.org/officeDocument/2006/relationships/printerSettings" Target="../printerSettings/printerSettings302.bin"/><Relationship Id="rId11" Type="http://schemas.openxmlformats.org/officeDocument/2006/relationships/comments" Target="../comments26.xml"/><Relationship Id="rId5" Type="http://schemas.openxmlformats.org/officeDocument/2006/relationships/printerSettings" Target="../printerSettings/printerSettings301.bin"/><Relationship Id="rId10" Type="http://schemas.openxmlformats.org/officeDocument/2006/relationships/vmlDrawing" Target="../drawings/vmlDrawing26.vml"/><Relationship Id="rId4" Type="http://schemas.openxmlformats.org/officeDocument/2006/relationships/printerSettings" Target="../printerSettings/printerSettings300.bin"/><Relationship Id="rId9" Type="http://schemas.openxmlformats.org/officeDocument/2006/relationships/drawing" Target="../drawings/drawing34.xm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312.bin"/><Relationship Id="rId3" Type="http://schemas.openxmlformats.org/officeDocument/2006/relationships/printerSettings" Target="../printerSettings/printerSettings307.bin"/><Relationship Id="rId7" Type="http://schemas.openxmlformats.org/officeDocument/2006/relationships/printerSettings" Target="../printerSettings/printerSettings311.bin"/><Relationship Id="rId2" Type="http://schemas.openxmlformats.org/officeDocument/2006/relationships/printerSettings" Target="../printerSettings/printerSettings306.bin"/><Relationship Id="rId1" Type="http://schemas.openxmlformats.org/officeDocument/2006/relationships/printerSettings" Target="../printerSettings/printerSettings305.bin"/><Relationship Id="rId6" Type="http://schemas.openxmlformats.org/officeDocument/2006/relationships/printerSettings" Target="../printerSettings/printerSettings310.bin"/><Relationship Id="rId11" Type="http://schemas.openxmlformats.org/officeDocument/2006/relationships/comments" Target="../comments27.xml"/><Relationship Id="rId5" Type="http://schemas.openxmlformats.org/officeDocument/2006/relationships/printerSettings" Target="../printerSettings/printerSettings309.bin"/><Relationship Id="rId10" Type="http://schemas.openxmlformats.org/officeDocument/2006/relationships/vmlDrawing" Target="../drawings/vmlDrawing27.vml"/><Relationship Id="rId4" Type="http://schemas.openxmlformats.org/officeDocument/2006/relationships/printerSettings" Target="../printerSettings/printerSettings308.bin"/><Relationship Id="rId9" Type="http://schemas.openxmlformats.org/officeDocument/2006/relationships/drawing" Target="../drawings/drawing35.xm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320.bin"/><Relationship Id="rId3" Type="http://schemas.openxmlformats.org/officeDocument/2006/relationships/printerSettings" Target="../printerSettings/printerSettings315.bin"/><Relationship Id="rId7" Type="http://schemas.openxmlformats.org/officeDocument/2006/relationships/printerSettings" Target="../printerSettings/printerSettings319.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comments" Target="../comments28.xml"/><Relationship Id="rId5" Type="http://schemas.openxmlformats.org/officeDocument/2006/relationships/printerSettings" Target="../printerSettings/printerSettings317.bin"/><Relationship Id="rId10" Type="http://schemas.openxmlformats.org/officeDocument/2006/relationships/vmlDrawing" Target="../drawings/vmlDrawing28.vml"/><Relationship Id="rId4" Type="http://schemas.openxmlformats.org/officeDocument/2006/relationships/printerSettings" Target="../printerSettings/printerSettings316.bin"/><Relationship Id="rId9" Type="http://schemas.openxmlformats.org/officeDocument/2006/relationships/drawing" Target="../drawings/drawing36.xm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328.bin"/><Relationship Id="rId3" Type="http://schemas.openxmlformats.org/officeDocument/2006/relationships/printerSettings" Target="../printerSettings/printerSettings323.bin"/><Relationship Id="rId7" Type="http://schemas.openxmlformats.org/officeDocument/2006/relationships/printerSettings" Target="../printerSettings/printerSettings327.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11" Type="http://schemas.openxmlformats.org/officeDocument/2006/relationships/comments" Target="../comments29.xml"/><Relationship Id="rId5" Type="http://schemas.openxmlformats.org/officeDocument/2006/relationships/printerSettings" Target="../printerSettings/printerSettings325.bin"/><Relationship Id="rId10" Type="http://schemas.openxmlformats.org/officeDocument/2006/relationships/vmlDrawing" Target="../drawings/vmlDrawing29.vml"/><Relationship Id="rId4" Type="http://schemas.openxmlformats.org/officeDocument/2006/relationships/printerSettings" Target="../printerSettings/printerSettings324.bin"/><Relationship Id="rId9" Type="http://schemas.openxmlformats.org/officeDocument/2006/relationships/drawing" Target="../drawings/drawing37.xml"/></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336.bin"/><Relationship Id="rId3" Type="http://schemas.openxmlformats.org/officeDocument/2006/relationships/printerSettings" Target="../printerSettings/printerSettings331.bin"/><Relationship Id="rId7" Type="http://schemas.openxmlformats.org/officeDocument/2006/relationships/printerSettings" Target="../printerSettings/printerSettings335.bin"/><Relationship Id="rId2" Type="http://schemas.openxmlformats.org/officeDocument/2006/relationships/printerSettings" Target="../printerSettings/printerSettings330.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comments" Target="../comments30.xml"/><Relationship Id="rId5" Type="http://schemas.openxmlformats.org/officeDocument/2006/relationships/printerSettings" Target="../printerSettings/printerSettings333.bin"/><Relationship Id="rId10" Type="http://schemas.openxmlformats.org/officeDocument/2006/relationships/vmlDrawing" Target="../drawings/vmlDrawing30.vml"/><Relationship Id="rId4" Type="http://schemas.openxmlformats.org/officeDocument/2006/relationships/printerSettings" Target="../printerSettings/printerSettings332.bin"/><Relationship Id="rId9" Type="http://schemas.openxmlformats.org/officeDocument/2006/relationships/drawing" Target="../drawings/drawing38.xm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344.bin"/><Relationship Id="rId3" Type="http://schemas.openxmlformats.org/officeDocument/2006/relationships/printerSettings" Target="../printerSettings/printerSettings339.bin"/><Relationship Id="rId7" Type="http://schemas.openxmlformats.org/officeDocument/2006/relationships/printerSettings" Target="../printerSettings/printerSettings343.bin"/><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11" Type="http://schemas.openxmlformats.org/officeDocument/2006/relationships/comments" Target="../comments31.xml"/><Relationship Id="rId5" Type="http://schemas.openxmlformats.org/officeDocument/2006/relationships/printerSettings" Target="../printerSettings/printerSettings341.bin"/><Relationship Id="rId10" Type="http://schemas.openxmlformats.org/officeDocument/2006/relationships/vmlDrawing" Target="../drawings/vmlDrawing31.vml"/><Relationship Id="rId4" Type="http://schemas.openxmlformats.org/officeDocument/2006/relationships/printerSettings" Target="../printerSettings/printerSettings340.bin"/><Relationship Id="rId9"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gov.uk/government/publications/biofuels-carbon-calculator-rtfo" TargetMode="External"/></Relationships>
</file>

<file path=xl/worksheets/_rels/sheet50.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40.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 Id="rId9"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B33A-8519-45D5-AB98-505321E24A98}">
  <sheetPr codeName="Sheet51"/>
  <dimension ref="C11:C39"/>
  <sheetViews>
    <sheetView showGridLines="0" tabSelected="1" zoomScaleNormal="100" workbookViewId="0"/>
  </sheetViews>
  <sheetFormatPr defaultRowHeight="14.4"/>
  <cols>
    <col min="1" max="1" width="5" customWidth="1"/>
    <col min="2" max="2" width="11.88671875" customWidth="1"/>
    <col min="3" max="3" width="184.5546875" customWidth="1"/>
  </cols>
  <sheetData>
    <row r="11" spans="3:3" ht="57.6">
      <c r="C11" s="468" t="s">
        <v>904</v>
      </c>
    </row>
    <row r="13" spans="3:3" ht="43.2">
      <c r="C13" s="84" t="s">
        <v>755</v>
      </c>
    </row>
    <row r="14" spans="3:3">
      <c r="C14" s="84"/>
    </row>
    <row r="15" spans="3:3">
      <c r="C15" s="343" t="s">
        <v>0</v>
      </c>
    </row>
    <row r="16" spans="3:3" ht="28.8">
      <c r="C16" s="84" t="s">
        <v>711</v>
      </c>
    </row>
    <row r="18" spans="3:3" ht="28.8">
      <c r="C18" s="84" t="s">
        <v>1</v>
      </c>
    </row>
    <row r="19" spans="3:3">
      <c r="C19" s="84"/>
    </row>
    <row r="20" spans="3:3" ht="28.8">
      <c r="C20" s="84" t="s">
        <v>2</v>
      </c>
    </row>
    <row r="22" spans="3:3">
      <c r="C22" s="343" t="s">
        <v>3</v>
      </c>
    </row>
    <row r="23" spans="3:3" ht="43.2">
      <c r="C23" s="84" t="s">
        <v>707</v>
      </c>
    </row>
    <row r="25" spans="3:3">
      <c r="C25" s="343" t="s">
        <v>4</v>
      </c>
    </row>
    <row r="26" spans="3:3" ht="28.8">
      <c r="C26" s="84" t="s">
        <v>704</v>
      </c>
    </row>
    <row r="28" spans="3:3">
      <c r="C28" s="28" t="s">
        <v>5</v>
      </c>
    </row>
    <row r="29" spans="3:3">
      <c r="C29" t="s">
        <v>6</v>
      </c>
    </row>
    <row r="31" spans="3:3" ht="28.8">
      <c r="C31" s="84" t="s">
        <v>782</v>
      </c>
    </row>
    <row r="33" spans="3:3" ht="28.8">
      <c r="C33" s="195" t="s">
        <v>7</v>
      </c>
    </row>
    <row r="35" spans="3:3" ht="28.8">
      <c r="C35" s="84" t="s">
        <v>910</v>
      </c>
    </row>
    <row r="37" spans="3:3" ht="28.8">
      <c r="C37" s="84" t="s">
        <v>905</v>
      </c>
    </row>
    <row r="39" spans="3:3" ht="28.8">
      <c r="C39" s="84" t="s">
        <v>914</v>
      </c>
    </row>
  </sheetData>
  <customSheetViews>
    <customSheetView guid="{43B6AE9C-E429-4506-98F3-C388B54AB8B6}" showGridLines="0" topLeftCell="A13">
      <selection activeCell="C39" sqref="C39"/>
      <pageMargins left="0" right="0" top="0" bottom="0" header="0" footer="0"/>
    </customSheetView>
    <customSheetView guid="{D41C0D8C-591E-4B34-99B3-B45BA51A58EC}" showGridLines="0" topLeftCell="A13">
      <pageMargins left="0" right="0" top="0" bottom="0" header="0" footer="0"/>
    </customSheetView>
    <customSheetView guid="{8F590910-6C03-4233-9C41-6540BF2DE453}" showGridLines="0" topLeftCell="A13">
      <pageMargins left="0" right="0" top="0" bottom="0" header="0" footer="0"/>
    </customSheetView>
    <customSheetView guid="{55CEC4CC-9BBF-4F2D-BA17-E94F4B26FAC5}" showGridLines="0" topLeftCell="A13">
      <pageMargins left="0" right="0" top="0" bottom="0" header="0" footer="0"/>
    </customSheetView>
    <customSheetView guid="{7735C88E-3A13-4DCF-BB32-4D20A306A8BB}" showGridLines="0">
      <pageMargins left="0" right="0" top="0" bottom="0" header="0" footer="0"/>
    </customSheetView>
    <customSheetView guid="{27B9E3C6-8189-41E0-896B-02A30393FDC0}" showGridLines="0">
      <pageMargins left="0" right="0" top="0" bottom="0" header="0" footer="0"/>
    </customSheetView>
    <customSheetView guid="{ED9AC919-98EB-43A3-A158-23FD7D007D30}" showGridLines="0">
      <pageMargins left="0" right="0" top="0" bottom="0" header="0" footer="0"/>
    </customSheetView>
  </customSheetViews>
  <pageMargins left="0" right="0" top="0" bottom="0" header="0" footer="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rgb="FFC7E8FA"/>
  </sheetPr>
  <dimension ref="B2:Z139"/>
  <sheetViews>
    <sheetView showGridLines="0" zoomScaleNormal="100" workbookViewId="0"/>
  </sheetViews>
  <sheetFormatPr defaultColWidth="7.109375" defaultRowHeight="14.4"/>
  <cols>
    <col min="1" max="1" width="7.109375" style="4"/>
    <col min="2" max="2" width="39.109375" style="4" customWidth="1"/>
    <col min="3" max="3" width="23.88671875" style="4" customWidth="1"/>
    <col min="4" max="4" width="16.5546875" style="4" customWidth="1"/>
    <col min="5" max="5" width="17.88671875" style="4" customWidth="1"/>
    <col min="6" max="8" width="14" style="4" customWidth="1"/>
    <col min="9" max="9" width="16.88671875" style="4" customWidth="1"/>
    <col min="10" max="10" width="19.88671875" style="4" customWidth="1"/>
    <col min="11" max="12" width="18.109375" style="4" customWidth="1"/>
    <col min="13" max="13" width="23.5546875" style="4" customWidth="1"/>
    <col min="14" max="14" width="19" style="4" customWidth="1"/>
    <col min="15" max="15" width="25" style="4" customWidth="1"/>
    <col min="16" max="17" width="18.109375" style="4" customWidth="1"/>
    <col min="18" max="18" width="16.5546875" style="4" customWidth="1"/>
    <col min="19" max="19" width="8.88671875" style="4" customWidth="1"/>
    <col min="20" max="20" width="7.109375" style="4"/>
    <col min="21" max="21" width="12.88671875" style="4" customWidth="1"/>
    <col min="22" max="22" width="7.109375" style="4"/>
    <col min="23" max="23" width="16.109375" style="4" customWidth="1"/>
    <col min="24" max="24" width="16.44140625" style="4" customWidth="1"/>
    <col min="25" max="25" width="12.6640625" style="4" customWidth="1"/>
    <col min="26" max="26" width="14.109375" style="4" customWidth="1"/>
    <col min="27" max="16384" width="7.109375" style="4"/>
  </cols>
  <sheetData>
    <row r="2" spans="2:9" ht="18">
      <c r="B2" s="390" t="s">
        <v>177</v>
      </c>
      <c r="C2" s="391"/>
      <c r="D2" s="391"/>
      <c r="E2" s="391"/>
      <c r="F2" s="391"/>
      <c r="G2" s="392"/>
      <c r="H2" s="391"/>
      <c r="I2" s="391"/>
    </row>
    <row r="3" spans="2:9" ht="15" thickBot="1">
      <c r="B3" s="5" t="s">
        <v>178</v>
      </c>
      <c r="C3" s="393" t="s">
        <v>179</v>
      </c>
      <c r="D3" s="393" t="s">
        <v>180</v>
      </c>
      <c r="E3" s="393" t="s">
        <v>181</v>
      </c>
      <c r="F3" s="393" t="s">
        <v>182</v>
      </c>
      <c r="G3" s="393" t="s">
        <v>183</v>
      </c>
      <c r="H3" s="394"/>
      <c r="I3" s="394"/>
    </row>
    <row r="4" spans="2:9" ht="15" thickTop="1">
      <c r="B4" s="395" t="s">
        <v>184</v>
      </c>
      <c r="C4" s="396"/>
      <c r="D4" s="396">
        <v>238.8</v>
      </c>
      <c r="E4" s="396">
        <f>2.388*10^-5</f>
        <v>2.3880000000000002E-5</v>
      </c>
      <c r="F4" s="396">
        <v>947.8</v>
      </c>
      <c r="G4" s="396">
        <v>0.27779999999999999</v>
      </c>
      <c r="H4" s="394"/>
      <c r="I4" s="397"/>
    </row>
    <row r="5" spans="2:9">
      <c r="B5" s="395" t="s">
        <v>185</v>
      </c>
      <c r="C5" s="398">
        <f>4.1868*10^-3</f>
        <v>4.1868000000000001E-3</v>
      </c>
      <c r="D5" s="396"/>
      <c r="E5" s="396">
        <f>10^-7</f>
        <v>9.9999999999999995E-8</v>
      </c>
      <c r="F5" s="396">
        <v>3.968</v>
      </c>
      <c r="G5" s="396">
        <f>1.163*10^-3</f>
        <v>1.163E-3</v>
      </c>
      <c r="H5" s="394"/>
      <c r="I5" s="399"/>
    </row>
    <row r="6" spans="2:9">
      <c r="B6" s="395" t="s">
        <v>186</v>
      </c>
      <c r="C6" s="400">
        <f>4.1868*10^4</f>
        <v>41868</v>
      </c>
      <c r="D6" s="400">
        <f>10^7</f>
        <v>10000000</v>
      </c>
      <c r="E6" s="396"/>
      <c r="F6" s="400">
        <f>3.968*10^7</f>
        <v>39680000</v>
      </c>
      <c r="G6" s="400">
        <v>11630</v>
      </c>
      <c r="H6" s="394"/>
      <c r="I6" s="401"/>
    </row>
    <row r="7" spans="2:9">
      <c r="B7" s="395" t="s">
        <v>187</v>
      </c>
      <c r="C7" s="398">
        <f>1.0551*10^-3</f>
        <v>1.0551E-3</v>
      </c>
      <c r="D7" s="396">
        <v>0.252</v>
      </c>
      <c r="E7" s="396">
        <f>2.52*10^-8</f>
        <v>2.5200000000000001E-8</v>
      </c>
      <c r="F7" s="396"/>
      <c r="G7" s="398">
        <f>1/F8</f>
        <v>2.9307107044088316E-4</v>
      </c>
      <c r="H7" s="394"/>
      <c r="I7" s="394"/>
    </row>
    <row r="8" spans="2:9">
      <c r="B8" s="395" t="s">
        <v>188</v>
      </c>
      <c r="C8" s="396">
        <v>3.6</v>
      </c>
      <c r="D8" s="396">
        <v>860</v>
      </c>
      <c r="E8" s="396">
        <f>8.6*10^-5</f>
        <v>8.6000000000000003E-5</v>
      </c>
      <c r="F8" s="400">
        <v>3412.1416300000001</v>
      </c>
      <c r="G8" s="402"/>
      <c r="H8" s="394"/>
      <c r="I8" s="403"/>
    </row>
    <row r="9" spans="2:9">
      <c r="B9" s="394"/>
      <c r="C9" s="404"/>
      <c r="D9" s="404"/>
      <c r="E9" s="404"/>
      <c r="F9" s="404"/>
      <c r="G9" s="405"/>
      <c r="H9" s="394"/>
      <c r="I9" s="394"/>
    </row>
    <row r="10" spans="2:9" ht="15.6">
      <c r="B10" s="406"/>
      <c r="C10" s="407"/>
      <c r="D10" s="407"/>
      <c r="E10" s="407"/>
      <c r="F10" s="407"/>
      <c r="G10" s="408"/>
      <c r="H10" s="406"/>
      <c r="I10" s="391"/>
    </row>
    <row r="11" spans="2:9" ht="18">
      <c r="B11" s="390" t="s">
        <v>189</v>
      </c>
      <c r="C11" s="407"/>
      <c r="D11" s="407"/>
      <c r="E11" s="407"/>
      <c r="F11" s="407"/>
      <c r="G11" s="408"/>
      <c r="H11" s="406"/>
      <c r="I11" s="391"/>
    </row>
    <row r="12" spans="2:9" ht="15" thickBot="1">
      <c r="B12" s="5" t="s">
        <v>178</v>
      </c>
      <c r="C12" s="393" t="s">
        <v>190</v>
      </c>
      <c r="D12" s="393" t="s">
        <v>191</v>
      </c>
      <c r="E12" s="393" t="s">
        <v>192</v>
      </c>
      <c r="F12" s="393" t="s">
        <v>193</v>
      </c>
      <c r="G12" s="393" t="s">
        <v>194</v>
      </c>
      <c r="H12" s="393" t="s">
        <v>195</v>
      </c>
      <c r="I12" s="394"/>
    </row>
    <row r="13" spans="2:9" ht="15" thickTop="1">
      <c r="B13" s="395" t="s">
        <v>196</v>
      </c>
      <c r="C13" s="396"/>
      <c r="D13" s="396">
        <v>1E-3</v>
      </c>
      <c r="E13" s="409">
        <f>9.84207*10^-4</f>
        <v>9.8420699999999996E-4</v>
      </c>
      <c r="F13" s="410">
        <f>1.10231*10^-3</f>
        <v>1.10231E-3</v>
      </c>
      <c r="G13" s="411">
        <v>2.2046199999999998</v>
      </c>
      <c r="H13" s="412">
        <f>G13*16</f>
        <v>35.273919999999997</v>
      </c>
      <c r="I13" s="394"/>
    </row>
    <row r="14" spans="2:9">
      <c r="B14" s="395" t="s">
        <v>197</v>
      </c>
      <c r="C14" s="396">
        <v>1000</v>
      </c>
      <c r="D14" s="396"/>
      <c r="E14" s="413">
        <v>0.98420700000000005</v>
      </c>
      <c r="F14" s="396">
        <v>1.1023099999999999</v>
      </c>
      <c r="G14" s="400">
        <v>2204.62</v>
      </c>
      <c r="H14" s="400">
        <f>G14*16</f>
        <v>35273.919999999998</v>
      </c>
      <c r="I14" s="394"/>
    </row>
    <row r="15" spans="2:9">
      <c r="B15" s="395" t="s">
        <v>198</v>
      </c>
      <c r="C15" s="400">
        <f>1/E13</f>
        <v>1016.0464211288886</v>
      </c>
      <c r="D15" s="414">
        <f>1/E14</f>
        <v>1.0160464211288884</v>
      </c>
      <c r="E15" s="396"/>
      <c r="F15" s="414">
        <v>1.1200000000000001</v>
      </c>
      <c r="G15" s="400">
        <v>2240</v>
      </c>
      <c r="H15" s="400">
        <f>G15*16</f>
        <v>35840</v>
      </c>
      <c r="I15" s="394"/>
    </row>
    <row r="16" spans="2:9">
      <c r="B16" s="395" t="s">
        <v>199</v>
      </c>
      <c r="C16" s="415">
        <f>1/F13</f>
        <v>907.18581887127937</v>
      </c>
      <c r="D16" s="413">
        <f>C16*D13</f>
        <v>0.90718581887127936</v>
      </c>
      <c r="E16" s="413">
        <f>C16*E13</f>
        <v>0.89285863323384518</v>
      </c>
      <c r="F16" s="396"/>
      <c r="G16" s="400">
        <v>2000</v>
      </c>
      <c r="H16" s="400">
        <f>G16*16</f>
        <v>32000</v>
      </c>
      <c r="I16" s="394"/>
    </row>
    <row r="17" spans="2:9">
      <c r="B17" s="395" t="s">
        <v>200</v>
      </c>
      <c r="C17" s="413">
        <f>1/G13</f>
        <v>0.45359290943563974</v>
      </c>
      <c r="D17" s="409">
        <f>1/G14</f>
        <v>4.535929094356397E-4</v>
      </c>
      <c r="E17" s="409">
        <f>1/G15</f>
        <v>4.4642857142857141E-4</v>
      </c>
      <c r="F17" s="396">
        <f>1/G16</f>
        <v>5.0000000000000001E-4</v>
      </c>
      <c r="G17" s="402"/>
      <c r="H17" s="396">
        <v>16</v>
      </c>
      <c r="I17" s="394"/>
    </row>
    <row r="18" spans="2:9">
      <c r="B18" s="395" t="s">
        <v>201</v>
      </c>
      <c r="C18" s="410">
        <f>C17/16</f>
        <v>2.8349556839727483E-2</v>
      </c>
      <c r="D18" s="416">
        <f>D17/16</f>
        <v>2.8349556839727481E-5</v>
      </c>
      <c r="E18" s="416">
        <f>E17/16</f>
        <v>2.7901785714285713E-5</v>
      </c>
      <c r="F18" s="416">
        <f>F17/16</f>
        <v>3.1250000000000001E-5</v>
      </c>
      <c r="G18" s="396">
        <f>1/16</f>
        <v>6.25E-2</v>
      </c>
      <c r="H18" s="396"/>
      <c r="I18" s="394"/>
    </row>
    <row r="19" spans="2:9">
      <c r="B19" s="394"/>
      <c r="C19" s="404"/>
      <c r="D19" s="404"/>
      <c r="E19" s="404"/>
      <c r="F19" s="404"/>
      <c r="G19" s="405"/>
      <c r="H19" s="394"/>
      <c r="I19" s="394"/>
    </row>
    <row r="20" spans="2:9" ht="15.6">
      <c r="B20" s="406"/>
      <c r="C20" s="407"/>
      <c r="D20" s="407"/>
      <c r="E20" s="407"/>
      <c r="F20" s="407"/>
      <c r="G20" s="408"/>
      <c r="H20" s="406"/>
      <c r="I20" s="391"/>
    </row>
    <row r="21" spans="2:9" ht="18">
      <c r="B21" s="390" t="s">
        <v>202</v>
      </c>
      <c r="C21" s="406"/>
      <c r="D21" s="406"/>
      <c r="E21" s="406"/>
      <c r="F21" s="406"/>
      <c r="G21" s="408"/>
      <c r="H21" s="406"/>
      <c r="I21" s="391"/>
    </row>
    <row r="22" spans="2:9" ht="15" thickBot="1">
      <c r="B22" s="5" t="s">
        <v>178</v>
      </c>
      <c r="C22" s="393" t="s">
        <v>203</v>
      </c>
      <c r="D22" s="393" t="s">
        <v>204</v>
      </c>
      <c r="E22" s="393" t="s">
        <v>205</v>
      </c>
      <c r="F22" s="393" t="s">
        <v>206</v>
      </c>
      <c r="G22" s="393" t="s">
        <v>207</v>
      </c>
      <c r="H22" s="393" t="s">
        <v>208</v>
      </c>
      <c r="I22" s="394"/>
    </row>
    <row r="23" spans="2:9" ht="15" thickTop="1">
      <c r="B23" s="395" t="s">
        <v>209</v>
      </c>
      <c r="C23" s="396"/>
      <c r="D23" s="413">
        <v>0.83267400000000003</v>
      </c>
      <c r="E23" s="410">
        <f>1/C25</f>
        <v>2.3809523809523808E-2</v>
      </c>
      <c r="F23" s="413">
        <v>0.13368099999999999</v>
      </c>
      <c r="G23" s="417">
        <v>3.7854100000000002</v>
      </c>
      <c r="H23" s="418">
        <v>3.7854100000000003E-3</v>
      </c>
      <c r="I23" s="419"/>
    </row>
    <row r="24" spans="2:9">
      <c r="B24" s="395" t="s">
        <v>210</v>
      </c>
      <c r="C24" s="413">
        <f>1/D23</f>
        <v>1.2009501917917456</v>
      </c>
      <c r="D24" s="396"/>
      <c r="E24" s="410">
        <f>1/D25</f>
        <v>2.8594052185517756E-2</v>
      </c>
      <c r="F24" s="413">
        <f>1/D26</f>
        <v>0.16054422258891232</v>
      </c>
      <c r="G24" s="413">
        <v>4.5460900000000004</v>
      </c>
      <c r="H24" s="410">
        <f>G24/1000</f>
        <v>4.54609E-3</v>
      </c>
      <c r="I24" s="419"/>
    </row>
    <row r="25" spans="2:9">
      <c r="B25" s="395" t="s">
        <v>211</v>
      </c>
      <c r="C25" s="420">
        <v>42</v>
      </c>
      <c r="D25" s="412">
        <f>C25*D23</f>
        <v>34.972307999999998</v>
      </c>
      <c r="E25" s="396"/>
      <c r="F25" s="414">
        <f>1/E26</f>
        <v>5.6146019999999996</v>
      </c>
      <c r="G25" s="421">
        <v>158.98722000000001</v>
      </c>
      <c r="H25" s="410">
        <f>G25/1000</f>
        <v>0.15898722000000001</v>
      </c>
      <c r="I25" s="419"/>
    </row>
    <row r="26" spans="2:9">
      <c r="B26" s="395" t="s">
        <v>212</v>
      </c>
      <c r="C26" s="413">
        <f>1/F23</f>
        <v>7.4804946103036336</v>
      </c>
      <c r="D26" s="414">
        <f>C26*D23</f>
        <v>6.2288133691399681</v>
      </c>
      <c r="E26" s="410">
        <f>C26*E23</f>
        <v>0.17810701453103889</v>
      </c>
      <c r="F26" s="396"/>
      <c r="G26" s="422">
        <v>28.316800000000001</v>
      </c>
      <c r="H26" s="410">
        <f>G26/1000</f>
        <v>2.83168E-2</v>
      </c>
      <c r="I26" s="419"/>
    </row>
    <row r="27" spans="2:9">
      <c r="B27" s="395" t="s">
        <v>213</v>
      </c>
      <c r="C27" s="413">
        <v>0.26417217685798894</v>
      </c>
      <c r="D27" s="413">
        <f>1/G24</f>
        <v>0.21996924829908776</v>
      </c>
      <c r="E27" s="410">
        <f>1/G25</f>
        <v>6.2898137347140223E-3</v>
      </c>
      <c r="F27" s="413">
        <f>1/G26</f>
        <v>3.5314724827664144E-2</v>
      </c>
      <c r="G27" s="402"/>
      <c r="H27" s="396">
        <v>1E-3</v>
      </c>
      <c r="I27" s="419"/>
    </row>
    <row r="28" spans="2:9">
      <c r="B28" s="395" t="s">
        <v>214</v>
      </c>
      <c r="C28" s="422">
        <f>1/H23</f>
        <v>264.17217685798892</v>
      </c>
      <c r="D28" s="422">
        <f>1/H24</f>
        <v>219.96924829908778</v>
      </c>
      <c r="E28" s="413">
        <f>1/H25</f>
        <v>6.2898137347140226</v>
      </c>
      <c r="F28" s="423">
        <f>1/H26</f>
        <v>35.314724827664143</v>
      </c>
      <c r="G28" s="400">
        <v>1000</v>
      </c>
      <c r="H28" s="402"/>
      <c r="I28" s="394"/>
    </row>
    <row r="29" spans="2:9">
      <c r="B29" s="394"/>
      <c r="C29" s="404"/>
      <c r="D29" s="404"/>
      <c r="E29" s="404"/>
      <c r="F29" s="404"/>
      <c r="G29" s="405"/>
      <c r="H29" s="394"/>
      <c r="I29" s="394"/>
    </row>
    <row r="30" spans="2:9">
      <c r="B30" s="394"/>
      <c r="C30" s="404"/>
      <c r="D30" s="404"/>
      <c r="E30" s="404"/>
      <c r="F30" s="404"/>
      <c r="G30" s="405"/>
      <c r="H30" s="394"/>
      <c r="I30" s="394"/>
    </row>
    <row r="31" spans="2:9" ht="18">
      <c r="B31" s="390" t="s">
        <v>215</v>
      </c>
      <c r="C31" s="391"/>
      <c r="D31" s="391"/>
      <c r="E31" s="391"/>
      <c r="F31" s="391"/>
      <c r="G31" s="392"/>
      <c r="H31" s="391"/>
      <c r="I31" s="391"/>
    </row>
    <row r="32" spans="2:9" ht="15" thickBot="1">
      <c r="B32" s="5" t="s">
        <v>178</v>
      </c>
      <c r="C32" s="393" t="s">
        <v>216</v>
      </c>
      <c r="D32" s="393" t="s">
        <v>217</v>
      </c>
      <c r="E32" s="393" t="s">
        <v>218</v>
      </c>
      <c r="F32" s="393" t="s">
        <v>219</v>
      </c>
      <c r="G32" s="393" t="s">
        <v>220</v>
      </c>
      <c r="H32" s="393" t="s">
        <v>221</v>
      </c>
      <c r="I32" s="393" t="s">
        <v>222</v>
      </c>
    </row>
    <row r="33" spans="2:9" ht="15" thickTop="1">
      <c r="B33" s="395" t="s">
        <v>223</v>
      </c>
      <c r="C33" s="396"/>
      <c r="D33" s="413">
        <f>1/C34</f>
        <v>8.3333333333333329E-2</v>
      </c>
      <c r="E33" s="410">
        <f>1/C35</f>
        <v>2.7777777777777776E-2</v>
      </c>
      <c r="F33" s="398">
        <f>1/C36</f>
        <v>1.5782828282828283E-5</v>
      </c>
      <c r="G33" s="424">
        <f>1/C37</f>
        <v>1.3714900141812068E-5</v>
      </c>
      <c r="H33" s="410">
        <f>1/C38</f>
        <v>2.5399986284007407E-2</v>
      </c>
      <c r="I33" s="398">
        <f>H33/1000</f>
        <v>2.5399986284007409E-5</v>
      </c>
    </row>
    <row r="34" spans="2:9">
      <c r="B34" s="395" t="s">
        <v>224</v>
      </c>
      <c r="C34" s="400">
        <v>12</v>
      </c>
      <c r="D34" s="396"/>
      <c r="E34" s="413">
        <f>1/D35</f>
        <v>0.33333333333333331</v>
      </c>
      <c r="F34" s="409">
        <f>1/D36</f>
        <v>1.8939393939393939E-4</v>
      </c>
      <c r="G34" s="409">
        <f>1/D37</f>
        <v>1.6457880170174483E-4</v>
      </c>
      <c r="H34" s="413">
        <f>1/D38</f>
        <v>0.30479983540808891</v>
      </c>
      <c r="I34" s="409">
        <f>H34/1000</f>
        <v>3.0479983540808892E-4</v>
      </c>
    </row>
    <row r="35" spans="2:9">
      <c r="B35" s="395" t="s">
        <v>225</v>
      </c>
      <c r="C35" s="400">
        <v>36</v>
      </c>
      <c r="D35" s="400">
        <f>C35*D33</f>
        <v>3</v>
      </c>
      <c r="E35" s="396"/>
      <c r="F35" s="425">
        <f>1/E36</f>
        <v>5.6818181818181815E-4</v>
      </c>
      <c r="G35" s="409">
        <f>1/E37</f>
        <v>4.9373640510523445E-4</v>
      </c>
      <c r="H35" s="413">
        <f>1/E38</f>
        <v>0.91439950622426669</v>
      </c>
      <c r="I35" s="423">
        <f>H35/1000</f>
        <v>9.143995062242667E-4</v>
      </c>
    </row>
    <row r="36" spans="2:9">
      <c r="B36" s="395" t="s">
        <v>226</v>
      </c>
      <c r="C36" s="400">
        <v>63360</v>
      </c>
      <c r="D36" s="400">
        <f>C36*D33</f>
        <v>5280</v>
      </c>
      <c r="E36" s="400">
        <f>C36*E33</f>
        <v>1760</v>
      </c>
      <c r="F36" s="396"/>
      <c r="G36" s="413">
        <f>1/F37</f>
        <v>0.86897607298521262</v>
      </c>
      <c r="H36" s="400">
        <f>1/F38</f>
        <v>1609.3431309547093</v>
      </c>
      <c r="I36" s="413">
        <f>H36/1000</f>
        <v>1.6093431309547093</v>
      </c>
    </row>
    <row r="37" spans="2:9">
      <c r="B37" s="395" t="s">
        <v>227</v>
      </c>
      <c r="C37" s="400">
        <v>72913.399999999994</v>
      </c>
      <c r="D37" s="400">
        <f>C37*D33</f>
        <v>6076.1166666666659</v>
      </c>
      <c r="E37" s="400">
        <f>C37*E33</f>
        <v>2025.372222222222</v>
      </c>
      <c r="F37" s="413">
        <f>C37*F33</f>
        <v>1.1507796717171717</v>
      </c>
      <c r="G37" s="402"/>
      <c r="H37" s="400">
        <f>1/G38</f>
        <v>1851.9993599203453</v>
      </c>
      <c r="I37" s="413">
        <f>H37/1000</f>
        <v>1.8519993599203453</v>
      </c>
    </row>
    <row r="38" spans="2:9">
      <c r="B38" s="395" t="s">
        <v>228</v>
      </c>
      <c r="C38" s="421">
        <v>39.370100000000001</v>
      </c>
      <c r="D38" s="423">
        <f>C38*D33</f>
        <v>3.2808416666666664</v>
      </c>
      <c r="E38" s="423">
        <f>C38*E33</f>
        <v>1.0936138888888889</v>
      </c>
      <c r="F38" s="409">
        <f>C38*F33</f>
        <v>6.2137152777777776E-4</v>
      </c>
      <c r="G38" s="409">
        <f>C38*G33</f>
        <v>5.3995699007315537E-4</v>
      </c>
      <c r="H38" s="402"/>
      <c r="I38" s="413">
        <f>1/H39</f>
        <v>1E-3</v>
      </c>
    </row>
    <row r="39" spans="2:9">
      <c r="B39" s="395" t="s">
        <v>229</v>
      </c>
      <c r="C39" s="400">
        <f>C38*1000</f>
        <v>39370.1</v>
      </c>
      <c r="D39" s="422">
        <f>D38*1000</f>
        <v>3280.8416666666662</v>
      </c>
      <c r="E39" s="422">
        <f>E38*1000</f>
        <v>1093.6138888888888</v>
      </c>
      <c r="F39" s="412">
        <f>F38*1000</f>
        <v>0.62137152777777771</v>
      </c>
      <c r="G39" s="412">
        <f>G38*1000</f>
        <v>0.53995699007315534</v>
      </c>
      <c r="H39" s="400">
        <v>1000</v>
      </c>
      <c r="I39" s="426"/>
    </row>
    <row r="40" spans="2:9">
      <c r="B40" s="394"/>
      <c r="C40" s="404"/>
      <c r="D40" s="404"/>
      <c r="E40" s="404"/>
      <c r="F40" s="404"/>
      <c r="G40" s="405"/>
      <c r="H40" s="394"/>
      <c r="I40" s="394"/>
    </row>
    <row r="41" spans="2:9">
      <c r="B41" s="394"/>
      <c r="C41" s="404"/>
      <c r="D41" s="404"/>
      <c r="E41" s="404"/>
      <c r="F41" s="404"/>
      <c r="G41" s="405"/>
      <c r="H41" s="394"/>
      <c r="I41" s="394"/>
    </row>
    <row r="42" spans="2:9" ht="18">
      <c r="B42" s="390" t="s">
        <v>230</v>
      </c>
      <c r="C42" s="391"/>
    </row>
    <row r="43" spans="2:9" ht="15" thickBot="1">
      <c r="B43" s="5" t="s">
        <v>178</v>
      </c>
      <c r="C43" s="393" t="s">
        <v>231</v>
      </c>
      <c r="D43" s="393" t="s">
        <v>232</v>
      </c>
    </row>
    <row r="44" spans="2:9" ht="15" thickTop="1">
      <c r="B44" s="395" t="s">
        <v>233</v>
      </c>
      <c r="C44" s="396"/>
      <c r="D44" s="413">
        <v>0.74569987199999999</v>
      </c>
    </row>
    <row r="45" spans="2:9">
      <c r="B45" s="395" t="s">
        <v>234</v>
      </c>
      <c r="C45" s="414">
        <f>1/D44</f>
        <v>1.3410220888438076</v>
      </c>
      <c r="D45" s="396"/>
    </row>
    <row r="48" spans="2:9" ht="18">
      <c r="B48" s="390" t="s">
        <v>235</v>
      </c>
      <c r="C48" s="391"/>
    </row>
    <row r="49" spans="2:4" ht="15" thickBot="1">
      <c r="B49" s="5" t="s">
        <v>178</v>
      </c>
      <c r="C49" s="393" t="s">
        <v>236</v>
      </c>
      <c r="D49" s="393" t="s">
        <v>237</v>
      </c>
    </row>
    <row r="50" spans="2:4" ht="15" thickTop="1">
      <c r="B50" s="395" t="s">
        <v>237</v>
      </c>
      <c r="C50" s="396">
        <v>10</v>
      </c>
      <c r="D50" s="413"/>
    </row>
    <row r="51" spans="2:4">
      <c r="B51" s="395" t="s">
        <v>236</v>
      </c>
      <c r="C51" s="414"/>
      <c r="D51" s="396">
        <v>0.1</v>
      </c>
    </row>
    <row r="54" spans="2:4" ht="18">
      <c r="B54" s="390" t="s">
        <v>238</v>
      </c>
      <c r="C54" s="391"/>
      <c r="D54" s="391"/>
    </row>
    <row r="55" spans="2:4" ht="15" thickBot="1">
      <c r="B55" s="5" t="s">
        <v>239</v>
      </c>
      <c r="C55" s="5" t="s">
        <v>240</v>
      </c>
      <c r="D55" s="5" t="s">
        <v>241</v>
      </c>
    </row>
    <row r="56" spans="2:4" ht="15" thickTop="1">
      <c r="B56" s="6" t="s">
        <v>242</v>
      </c>
      <c r="C56" s="6" t="s">
        <v>243</v>
      </c>
      <c r="D56" s="6" t="s">
        <v>244</v>
      </c>
    </row>
    <row r="57" spans="2:4">
      <c r="B57" s="6" t="s">
        <v>245</v>
      </c>
      <c r="C57" s="6" t="s">
        <v>246</v>
      </c>
      <c r="D57" s="6" t="s">
        <v>247</v>
      </c>
    </row>
    <row r="58" spans="2:4">
      <c r="B58" s="6" t="s">
        <v>248</v>
      </c>
      <c r="C58" s="6" t="s">
        <v>249</v>
      </c>
      <c r="D58" s="6" t="s">
        <v>250</v>
      </c>
    </row>
    <row r="59" spans="2:4">
      <c r="B59" s="6" t="s">
        <v>251</v>
      </c>
      <c r="C59" s="6" t="s">
        <v>252</v>
      </c>
      <c r="D59" s="6" t="s">
        <v>253</v>
      </c>
    </row>
    <row r="60" spans="2:4">
      <c r="B60" s="6" t="s">
        <v>254</v>
      </c>
      <c r="C60" s="6" t="s">
        <v>255</v>
      </c>
      <c r="D60" s="6" t="s">
        <v>256</v>
      </c>
    </row>
    <row r="61" spans="2:4">
      <c r="B61" s="6" t="s">
        <v>257</v>
      </c>
      <c r="C61" s="6" t="s">
        <v>258</v>
      </c>
      <c r="D61" s="6" t="s">
        <v>259</v>
      </c>
    </row>
    <row r="62" spans="2:4">
      <c r="B62" s="6" t="s">
        <v>260</v>
      </c>
      <c r="C62" s="6" t="s">
        <v>261</v>
      </c>
      <c r="D62" s="6" t="s">
        <v>262</v>
      </c>
    </row>
    <row r="63" spans="2:4">
      <c r="B63" s="6" t="s">
        <v>263</v>
      </c>
      <c r="C63" s="6" t="s">
        <v>264</v>
      </c>
      <c r="D63" s="6" t="s">
        <v>265</v>
      </c>
    </row>
    <row r="64" spans="2:4">
      <c r="B64" s="6" t="s">
        <v>266</v>
      </c>
      <c r="C64" s="6" t="s">
        <v>267</v>
      </c>
      <c r="D64" s="6" t="s">
        <v>268</v>
      </c>
    </row>
    <row r="65" spans="2:4">
      <c r="B65" s="6" t="s">
        <v>269</v>
      </c>
      <c r="C65" s="6" t="s">
        <v>270</v>
      </c>
      <c r="D65" s="6" t="s">
        <v>271</v>
      </c>
    </row>
    <row r="66" spans="2:4">
      <c r="B66" s="7" t="s">
        <v>272</v>
      </c>
      <c r="C66" s="6" t="s">
        <v>273</v>
      </c>
      <c r="D66" s="6" t="s">
        <v>274</v>
      </c>
    </row>
    <row r="67" spans="2:4">
      <c r="B67" s="7" t="s">
        <v>275</v>
      </c>
      <c r="C67" s="6" t="s">
        <v>276</v>
      </c>
      <c r="D67" s="6" t="s">
        <v>277</v>
      </c>
    </row>
    <row r="68" spans="2:4">
      <c r="B68" s="7" t="s">
        <v>278</v>
      </c>
      <c r="C68" s="6" t="s">
        <v>279</v>
      </c>
      <c r="D68" s="6" t="s">
        <v>221</v>
      </c>
    </row>
    <row r="69" spans="2:4">
      <c r="B69" s="7" t="s">
        <v>280</v>
      </c>
      <c r="C69" s="6" t="s">
        <v>281</v>
      </c>
      <c r="D69" s="6" t="s">
        <v>221</v>
      </c>
    </row>
    <row r="70" spans="2:4">
      <c r="B70" s="7" t="s">
        <v>282</v>
      </c>
      <c r="C70" s="6" t="s">
        <v>283</v>
      </c>
      <c r="D70" s="6" t="s">
        <v>284</v>
      </c>
    </row>
    <row r="71" spans="2:4">
      <c r="B71" s="7" t="s">
        <v>285</v>
      </c>
      <c r="C71" s="6" t="s">
        <v>286</v>
      </c>
      <c r="D71" s="6" t="s">
        <v>287</v>
      </c>
    </row>
    <row r="72" spans="2:4">
      <c r="B72" s="8" t="s">
        <v>288</v>
      </c>
      <c r="C72" s="6" t="s">
        <v>289</v>
      </c>
      <c r="D72" s="6" t="s">
        <v>290</v>
      </c>
    </row>
    <row r="73" spans="2:4">
      <c r="B73" s="8" t="s">
        <v>291</v>
      </c>
      <c r="C73" s="6" t="s">
        <v>292</v>
      </c>
      <c r="D73" s="6" t="s">
        <v>293</v>
      </c>
    </row>
    <row r="74" spans="2:4">
      <c r="B74" s="8" t="s">
        <v>294</v>
      </c>
      <c r="C74" s="6" t="s">
        <v>295</v>
      </c>
      <c r="D74" s="6" t="s">
        <v>296</v>
      </c>
    </row>
    <row r="75" spans="2:4">
      <c r="B75" s="8" t="s">
        <v>297</v>
      </c>
      <c r="C75" s="6" t="s">
        <v>298</v>
      </c>
      <c r="D75" s="6" t="s">
        <v>299</v>
      </c>
    </row>
    <row r="77" spans="2:4" ht="15" thickBot="1">
      <c r="B77" s="120" t="s">
        <v>300</v>
      </c>
      <c r="C77" s="9"/>
    </row>
    <row r="78" spans="2:4">
      <c r="B78" s="119" t="s">
        <v>301</v>
      </c>
    </row>
    <row r="79" spans="2:4">
      <c r="B79" s="119" t="s">
        <v>302</v>
      </c>
    </row>
    <row r="82" spans="2:10" ht="18">
      <c r="B82" s="132" t="s">
        <v>303</v>
      </c>
    </row>
    <row r="83" spans="2:10">
      <c r="B83" s="131" t="s">
        <v>304</v>
      </c>
      <c r="E83" s="10"/>
      <c r="F83" s="10"/>
      <c r="G83" s="10"/>
      <c r="H83" s="10"/>
      <c r="I83" s="10"/>
      <c r="J83" s="10"/>
    </row>
    <row r="84" spans="2:10" ht="16.2" thickBot="1">
      <c r="B84" s="5" t="s">
        <v>305</v>
      </c>
      <c r="C84" s="5" t="s">
        <v>306</v>
      </c>
      <c r="D84" s="5" t="s">
        <v>307</v>
      </c>
      <c r="E84" s="10"/>
      <c r="F84" s="10"/>
      <c r="G84" s="10"/>
      <c r="H84" s="10"/>
      <c r="I84" s="10"/>
      <c r="J84" s="10"/>
    </row>
    <row r="85" spans="2:10" ht="16.2" thickTop="1">
      <c r="B85" s="141" t="s">
        <v>308</v>
      </c>
      <c r="C85" s="141">
        <v>1</v>
      </c>
      <c r="D85" s="141" t="s">
        <v>309</v>
      </c>
      <c r="E85" s="10"/>
      <c r="F85" s="10"/>
      <c r="G85" s="10"/>
      <c r="H85" s="10"/>
      <c r="I85" s="10"/>
      <c r="J85" s="10"/>
    </row>
    <row r="86" spans="2:10" ht="15.6">
      <c r="B86" s="141" t="s">
        <v>310</v>
      </c>
      <c r="C86" s="141">
        <v>28</v>
      </c>
      <c r="D86" s="141" t="s">
        <v>309</v>
      </c>
      <c r="E86" s="10"/>
      <c r="F86" s="10"/>
      <c r="G86" s="10"/>
      <c r="H86" s="10"/>
      <c r="I86" s="10"/>
      <c r="J86" s="10"/>
    </row>
    <row r="87" spans="2:10" ht="15.6">
      <c r="B87" s="141" t="s">
        <v>311</v>
      </c>
      <c r="C87" s="141">
        <v>265</v>
      </c>
      <c r="D87" s="141" t="s">
        <v>309</v>
      </c>
    </row>
    <row r="88" spans="2:10" ht="15.6">
      <c r="B88" s="141" t="s">
        <v>312</v>
      </c>
      <c r="C88" s="141">
        <v>23500</v>
      </c>
      <c r="D88" s="141" t="s">
        <v>309</v>
      </c>
    </row>
    <row r="89" spans="2:10">
      <c r="B89" s="141" t="s">
        <v>313</v>
      </c>
      <c r="C89" s="141">
        <v>12400</v>
      </c>
      <c r="D89" s="141" t="s">
        <v>309</v>
      </c>
    </row>
    <row r="90" spans="2:10">
      <c r="B90" s="141" t="s">
        <v>314</v>
      </c>
      <c r="C90" s="141">
        <v>677</v>
      </c>
      <c r="D90" s="141" t="s">
        <v>309</v>
      </c>
    </row>
    <row r="91" spans="2:10">
      <c r="B91" s="141" t="s">
        <v>315</v>
      </c>
      <c r="C91" s="141">
        <v>116</v>
      </c>
      <c r="D91" s="141" t="s">
        <v>309</v>
      </c>
    </row>
    <row r="92" spans="2:10">
      <c r="B92" s="141" t="s">
        <v>316</v>
      </c>
      <c r="C92" s="141">
        <v>3170</v>
      </c>
      <c r="D92" s="141" t="s">
        <v>309</v>
      </c>
    </row>
    <row r="93" spans="2:10">
      <c r="B93" s="141" t="s">
        <v>317</v>
      </c>
      <c r="C93" s="141">
        <v>1120</v>
      </c>
      <c r="D93" s="141" t="s">
        <v>309</v>
      </c>
    </row>
    <row r="94" spans="2:10">
      <c r="B94" s="141" t="s">
        <v>318</v>
      </c>
      <c r="C94" s="141">
        <v>1300</v>
      </c>
      <c r="D94" s="141" t="s">
        <v>309</v>
      </c>
    </row>
    <row r="95" spans="2:10">
      <c r="B95" s="141" t="s">
        <v>319</v>
      </c>
      <c r="C95" s="141">
        <v>328</v>
      </c>
      <c r="D95" s="141" t="s">
        <v>309</v>
      </c>
    </row>
    <row r="96" spans="2:10">
      <c r="B96" s="141" t="s">
        <v>320</v>
      </c>
      <c r="C96" s="141">
        <v>4800</v>
      </c>
      <c r="D96" s="141" t="s">
        <v>309</v>
      </c>
    </row>
    <row r="97" spans="2:4">
      <c r="B97" s="141" t="s">
        <v>321</v>
      </c>
      <c r="C97" s="141">
        <v>16</v>
      </c>
      <c r="D97" s="141" t="s">
        <v>309</v>
      </c>
    </row>
    <row r="98" spans="2:4">
      <c r="B98" s="141" t="s">
        <v>322</v>
      </c>
      <c r="C98" s="141">
        <v>138</v>
      </c>
      <c r="D98" s="141" t="s">
        <v>309</v>
      </c>
    </row>
    <row r="99" spans="2:4">
      <c r="B99" s="141" t="s">
        <v>323</v>
      </c>
      <c r="C99" s="141">
        <v>4</v>
      </c>
      <c r="D99" s="141" t="s">
        <v>309</v>
      </c>
    </row>
    <row r="100" spans="2:4">
      <c r="B100" s="141" t="s">
        <v>324</v>
      </c>
      <c r="C100" s="141">
        <v>3350</v>
      </c>
      <c r="D100" s="141" t="s">
        <v>309</v>
      </c>
    </row>
    <row r="101" spans="2:4">
      <c r="B101" s="141" t="s">
        <v>325</v>
      </c>
      <c r="C101" s="141">
        <v>1210</v>
      </c>
      <c r="D101" s="141" t="s">
        <v>309</v>
      </c>
    </row>
    <row r="102" spans="2:4">
      <c r="B102" s="141" t="s">
        <v>326</v>
      </c>
      <c r="C102" s="141">
        <v>1330</v>
      </c>
      <c r="D102" s="141" t="s">
        <v>309</v>
      </c>
    </row>
    <row r="103" spans="2:4">
      <c r="B103" s="141" t="s">
        <v>327</v>
      </c>
      <c r="C103" s="141">
        <v>8060</v>
      </c>
      <c r="D103" s="141" t="s">
        <v>309</v>
      </c>
    </row>
    <row r="104" spans="2:4">
      <c r="B104" s="141" t="s">
        <v>328</v>
      </c>
      <c r="C104" s="141">
        <v>716</v>
      </c>
      <c r="D104" s="141" t="s">
        <v>309</v>
      </c>
    </row>
    <row r="105" spans="2:4">
      <c r="B105" s="141" t="s">
        <v>329</v>
      </c>
      <c r="C105" s="141">
        <v>858</v>
      </c>
      <c r="D105" s="141" t="s">
        <v>309</v>
      </c>
    </row>
    <row r="106" spans="2:4">
      <c r="B106" s="141" t="s">
        <v>330</v>
      </c>
      <c r="C106" s="141">
        <v>804</v>
      </c>
      <c r="D106" s="141" t="s">
        <v>309</v>
      </c>
    </row>
    <row r="107" spans="2:4">
      <c r="B107" s="141" t="s">
        <v>331</v>
      </c>
      <c r="C107" s="141">
        <v>1650</v>
      </c>
      <c r="D107" s="141" t="s">
        <v>309</v>
      </c>
    </row>
    <row r="110" spans="2:4" ht="18">
      <c r="B110" s="132" t="s">
        <v>332</v>
      </c>
    </row>
    <row r="111" spans="2:4" ht="16.2" thickBot="1">
      <c r="B111" s="5" t="s">
        <v>333</v>
      </c>
      <c r="C111" s="388" t="s">
        <v>334</v>
      </c>
      <c r="D111" s="388" t="s">
        <v>307</v>
      </c>
    </row>
    <row r="112" spans="2:4" ht="15" thickTop="1">
      <c r="B112" s="389" t="s">
        <v>136</v>
      </c>
      <c r="C112" s="389">
        <v>12</v>
      </c>
      <c r="D112" s="4" t="s">
        <v>335</v>
      </c>
    </row>
    <row r="113" spans="2:26">
      <c r="B113" s="389" t="s">
        <v>719</v>
      </c>
      <c r="C113" s="389">
        <v>13</v>
      </c>
      <c r="D113" s="4" t="s">
        <v>335</v>
      </c>
    </row>
    <row r="114" spans="2:26">
      <c r="B114" s="389" t="s">
        <v>336</v>
      </c>
      <c r="C114" s="389">
        <v>55</v>
      </c>
      <c r="D114" s="4" t="s">
        <v>335</v>
      </c>
    </row>
    <row r="115" spans="2:26">
      <c r="B115" s="389" t="s">
        <v>797</v>
      </c>
      <c r="C115" s="389">
        <v>0</v>
      </c>
      <c r="D115" s="4" t="s">
        <v>335</v>
      </c>
    </row>
    <row r="116" spans="2:26">
      <c r="B116" s="389" t="s">
        <v>798</v>
      </c>
      <c r="C116" s="389">
        <v>0</v>
      </c>
      <c r="D116" s="4" t="s">
        <v>335</v>
      </c>
    </row>
    <row r="118" spans="2:26" ht="18">
      <c r="B118" s="390" t="s">
        <v>337</v>
      </c>
    </row>
    <row r="119" spans="2:26" ht="29.4" thickBot="1">
      <c r="B119" s="5" t="s">
        <v>338</v>
      </c>
      <c r="C119" s="5" t="s">
        <v>339</v>
      </c>
      <c r="D119" s="5" t="s">
        <v>340</v>
      </c>
      <c r="E119" s="5" t="s">
        <v>341</v>
      </c>
      <c r="F119" s="5" t="s">
        <v>342</v>
      </c>
      <c r="G119" s="5" t="s">
        <v>343</v>
      </c>
      <c r="H119" s="5" t="s">
        <v>344</v>
      </c>
      <c r="I119" s="5" t="s">
        <v>345</v>
      </c>
      <c r="J119" s="5" t="s">
        <v>346</v>
      </c>
      <c r="K119" s="5" t="s">
        <v>347</v>
      </c>
      <c r="L119" s="5" t="s">
        <v>348</v>
      </c>
      <c r="M119" s="5" t="s">
        <v>349</v>
      </c>
      <c r="N119" s="5" t="s">
        <v>350</v>
      </c>
      <c r="O119" s="5" t="s">
        <v>351</v>
      </c>
      <c r="P119" s="5" t="s">
        <v>891</v>
      </c>
      <c r="Q119" s="5" t="s">
        <v>892</v>
      </c>
      <c r="R119" s="5" t="s">
        <v>352</v>
      </c>
      <c r="S119" s="5" t="s">
        <v>353</v>
      </c>
      <c r="T119" s="388" t="s">
        <v>354</v>
      </c>
      <c r="U119" s="388" t="s">
        <v>355</v>
      </c>
      <c r="V119" s="388" t="s">
        <v>356</v>
      </c>
      <c r="W119" s="388" t="s">
        <v>169</v>
      </c>
      <c r="X119" s="388" t="s">
        <v>23</v>
      </c>
      <c r="Y119" s="388" t="s">
        <v>793</v>
      </c>
      <c r="Z119" s="388" t="s">
        <v>893</v>
      </c>
    </row>
    <row r="120" spans="2:26" ht="15" thickTop="1">
      <c r="B120" s="4" t="s">
        <v>942</v>
      </c>
      <c r="C120" s="4" t="s">
        <v>357</v>
      </c>
      <c r="D120" s="4" t="s">
        <v>126</v>
      </c>
      <c r="E120" s="4" t="s">
        <v>149</v>
      </c>
      <c r="F120" s="4" t="s">
        <v>358</v>
      </c>
      <c r="G120" s="4" t="s">
        <v>359</v>
      </c>
      <c r="H120" s="4" t="s">
        <v>145</v>
      </c>
      <c r="I120" s="4" t="s">
        <v>360</v>
      </c>
      <c r="J120" s="4" t="s">
        <v>361</v>
      </c>
      <c r="K120" s="4" t="s">
        <v>147</v>
      </c>
      <c r="L120" s="4" t="s">
        <v>120</v>
      </c>
      <c r="M120" s="4" t="s">
        <v>362</v>
      </c>
      <c r="N120" s="4" t="s">
        <v>943</v>
      </c>
      <c r="O120" s="4" t="s">
        <v>363</v>
      </c>
      <c r="P120" s="4" t="s">
        <v>149</v>
      </c>
      <c r="Q120" s="4" t="s">
        <v>149</v>
      </c>
      <c r="R120" s="4" t="s">
        <v>136</v>
      </c>
      <c r="S120" s="4">
        <v>2022</v>
      </c>
      <c r="T120" s="4" t="s">
        <v>364</v>
      </c>
      <c r="U120" s="4" t="s">
        <v>365</v>
      </c>
      <c r="V120" s="4" t="s">
        <v>120</v>
      </c>
      <c r="W120" s="4" t="s">
        <v>172</v>
      </c>
      <c r="X120" s="4" t="s">
        <v>582</v>
      </c>
      <c r="Y120" s="4" t="s">
        <v>794</v>
      </c>
      <c r="Z120" s="4" t="s">
        <v>134</v>
      </c>
    </row>
    <row r="121" spans="2:26">
      <c r="B121" s="4" t="s">
        <v>366</v>
      </c>
      <c r="C121" s="4" t="s">
        <v>367</v>
      </c>
      <c r="D121" s="4" t="s">
        <v>368</v>
      </c>
      <c r="E121" s="4" t="s">
        <v>369</v>
      </c>
      <c r="F121" s="4" t="s">
        <v>370</v>
      </c>
      <c r="G121" s="4" t="s">
        <v>371</v>
      </c>
      <c r="H121" s="4" t="s">
        <v>372</v>
      </c>
      <c r="I121" s="4" t="s">
        <v>146</v>
      </c>
      <c r="J121" s="4" t="s">
        <v>125</v>
      </c>
      <c r="K121" s="4" t="s">
        <v>373</v>
      </c>
      <c r="L121" s="4" t="s">
        <v>367</v>
      </c>
      <c r="M121" s="4" t="s">
        <v>374</v>
      </c>
      <c r="N121" s="4" t="s">
        <v>130</v>
      </c>
      <c r="O121" s="4" t="s">
        <v>137</v>
      </c>
      <c r="P121" s="4" t="s">
        <v>369</v>
      </c>
      <c r="Q121" s="4" t="s">
        <v>379</v>
      </c>
      <c r="R121" s="4" t="s">
        <v>719</v>
      </c>
      <c r="S121" s="4">
        <v>2023</v>
      </c>
      <c r="T121" s="4" t="s">
        <v>375</v>
      </c>
      <c r="U121" s="4" t="s">
        <v>376</v>
      </c>
      <c r="V121" s="4" t="s">
        <v>367</v>
      </c>
      <c r="W121" s="4" t="s">
        <v>377</v>
      </c>
      <c r="X121" s="4" t="s">
        <v>747</v>
      </c>
      <c r="Y121" s="4" t="s">
        <v>796</v>
      </c>
      <c r="Z121" s="4" t="s">
        <v>394</v>
      </c>
    </row>
    <row r="122" spans="2:26">
      <c r="B122" s="4" t="s">
        <v>378</v>
      </c>
      <c r="E122" s="4" t="s">
        <v>379</v>
      </c>
      <c r="F122" s="4" t="s">
        <v>380</v>
      </c>
      <c r="G122" s="4" t="s">
        <v>127</v>
      </c>
      <c r="H122" s="4" t="s">
        <v>381</v>
      </c>
      <c r="I122" s="4" t="s">
        <v>127</v>
      </c>
      <c r="J122" s="4" t="s">
        <v>382</v>
      </c>
      <c r="L122" s="4" t="s">
        <v>127</v>
      </c>
      <c r="M122" s="4" t="s">
        <v>383</v>
      </c>
      <c r="N122" s="4" t="s">
        <v>384</v>
      </c>
      <c r="O122" s="4" t="s">
        <v>385</v>
      </c>
      <c r="R122" s="4" t="s">
        <v>336</v>
      </c>
      <c r="S122" s="4">
        <v>2024</v>
      </c>
      <c r="U122" s="4" t="s">
        <v>134</v>
      </c>
      <c r="W122" s="4" t="s">
        <v>174</v>
      </c>
      <c r="Y122" s="4" t="s">
        <v>795</v>
      </c>
      <c r="Z122" s="4" t="s">
        <v>389</v>
      </c>
    </row>
    <row r="123" spans="2:26">
      <c r="B123" s="4" t="s">
        <v>386</v>
      </c>
      <c r="F123" s="4" t="s">
        <v>134</v>
      </c>
      <c r="H123" s="4" t="s">
        <v>134</v>
      </c>
      <c r="J123" s="4" t="s">
        <v>387</v>
      </c>
      <c r="M123" s="4" t="s">
        <v>388</v>
      </c>
      <c r="N123" s="4" t="s">
        <v>134</v>
      </c>
      <c r="O123" s="4" t="s">
        <v>379</v>
      </c>
      <c r="R123" s="4" t="s">
        <v>797</v>
      </c>
      <c r="S123" s="4">
        <v>2025</v>
      </c>
      <c r="Z123" s="4" t="s">
        <v>386</v>
      </c>
    </row>
    <row r="124" spans="2:26">
      <c r="B124" s="4" t="s">
        <v>389</v>
      </c>
      <c r="F124" s="4" t="s">
        <v>127</v>
      </c>
      <c r="H124" s="4" t="s">
        <v>127</v>
      </c>
      <c r="J124" s="4" t="s">
        <v>390</v>
      </c>
      <c r="M124" s="4" t="s">
        <v>134</v>
      </c>
      <c r="N124" s="4" t="s">
        <v>960</v>
      </c>
      <c r="O124" s="4" t="s">
        <v>134</v>
      </c>
      <c r="R124" s="4" t="s">
        <v>798</v>
      </c>
      <c r="S124" s="4">
        <v>2026</v>
      </c>
      <c r="Z124" s="4" t="s">
        <v>396</v>
      </c>
    </row>
    <row r="125" spans="2:26">
      <c r="B125" s="4" t="s">
        <v>391</v>
      </c>
      <c r="J125" s="4" t="s">
        <v>392</v>
      </c>
      <c r="M125" s="4" t="s">
        <v>127</v>
      </c>
      <c r="N125" s="4" t="s">
        <v>127</v>
      </c>
      <c r="O125" s="4" t="s">
        <v>127</v>
      </c>
      <c r="R125" s="4" t="s">
        <v>127</v>
      </c>
      <c r="S125" s="4">
        <v>2027</v>
      </c>
      <c r="Z125" s="4" t="s">
        <v>398</v>
      </c>
    </row>
    <row r="126" spans="2:26">
      <c r="B126" s="4" t="s">
        <v>124</v>
      </c>
      <c r="J126" s="4" t="s">
        <v>393</v>
      </c>
      <c r="S126" s="4">
        <v>2028</v>
      </c>
    </row>
    <row r="127" spans="2:26">
      <c r="B127" s="4" t="s">
        <v>394</v>
      </c>
      <c r="J127" s="4" t="s">
        <v>395</v>
      </c>
      <c r="S127" s="4">
        <v>2029</v>
      </c>
    </row>
    <row r="128" spans="2:26">
      <c r="B128" s="4" t="s">
        <v>396</v>
      </c>
      <c r="J128" s="4" t="s">
        <v>397</v>
      </c>
      <c r="S128" s="4">
        <v>2030</v>
      </c>
    </row>
    <row r="129" spans="2:19">
      <c r="B129" s="4" t="s">
        <v>398</v>
      </c>
      <c r="S129" s="4">
        <v>2031</v>
      </c>
    </row>
    <row r="130" spans="2:19">
      <c r="B130" s="4" t="s">
        <v>399</v>
      </c>
      <c r="S130" s="4">
        <v>2032</v>
      </c>
    </row>
    <row r="131" spans="2:19">
      <c r="B131" s="4" t="s">
        <v>400</v>
      </c>
      <c r="S131" s="4">
        <v>2033</v>
      </c>
    </row>
    <row r="132" spans="2:19">
      <c r="B132" s="4" t="s">
        <v>401</v>
      </c>
      <c r="S132" s="4">
        <v>2034</v>
      </c>
    </row>
    <row r="133" spans="2:19">
      <c r="B133" s="4" t="s">
        <v>402</v>
      </c>
      <c r="S133" s="4">
        <v>2035</v>
      </c>
    </row>
    <row r="134" spans="2:19">
      <c r="B134" s="4" t="s">
        <v>894</v>
      </c>
    </row>
    <row r="135" spans="2:19">
      <c r="B135" s="4" t="s">
        <v>895</v>
      </c>
    </row>
    <row r="136" spans="2:19">
      <c r="B136" s="4" t="s">
        <v>134</v>
      </c>
    </row>
    <row r="138" spans="2:19" ht="18">
      <c r="B138" s="136" t="s">
        <v>403</v>
      </c>
    </row>
    <row r="139" spans="2:19">
      <c r="B139" s="135" t="s">
        <v>364</v>
      </c>
    </row>
  </sheetData>
  <customSheetViews>
    <customSheetView guid="{43B6AE9C-E429-4506-98F3-C388B54AB8B6}" showGridLines="0">
      <selection activeCell="D1" sqref="D1"/>
      <pageMargins left="0" right="0" top="0" bottom="0" header="0" footer="0"/>
      <pageSetup paperSize="9" orientation="portrait" r:id="rId1"/>
    </customSheetView>
    <customSheetView guid="{D41C0D8C-591E-4B34-99B3-B45BA51A58EC}" showGridLines="0">
      <selection activeCell="D1" sqref="D1"/>
      <pageMargins left="0" right="0" top="0" bottom="0" header="0" footer="0"/>
      <pageSetup paperSize="9" orientation="portrait" r:id="rId2"/>
    </customSheetView>
    <customSheetView guid="{8F590910-6C03-4233-9C41-6540BF2DE453}" showGridLines="0">
      <selection activeCell="D1" sqref="D1"/>
      <pageMargins left="0" right="0" top="0" bottom="0" header="0" footer="0"/>
      <pageSetup paperSize="9" orientation="portrait" r:id="rId3"/>
    </customSheetView>
    <customSheetView guid="{55CEC4CC-9BBF-4F2D-BA17-E94F4B26FAC5}" showGridLines="0">
      <selection activeCell="D1" sqref="D1"/>
      <pageMargins left="0" right="0" top="0" bottom="0" header="0" footer="0"/>
      <pageSetup paperSize="9" orientation="portrait" r:id="rId4"/>
    </customSheetView>
    <customSheetView guid="{7735C88E-3A13-4DCF-BB32-4D20A306A8BB}" showGridLines="0">
      <selection activeCell="D1" sqref="D1"/>
      <pageMargins left="0" right="0" top="0" bottom="0" header="0" footer="0"/>
      <pageSetup paperSize="9" orientation="portrait" r:id="rId5"/>
    </customSheetView>
    <customSheetView guid="{27B9E3C6-8189-41E0-896B-02A30393FDC0}" showGridLines="0">
      <selection activeCell="D1" sqref="D1"/>
      <pageMargins left="0" right="0" top="0" bottom="0" header="0" footer="0"/>
      <pageSetup paperSize="9" orientation="portrait" r:id="rId6"/>
    </customSheetView>
    <customSheetView guid="{ED9AC919-98EB-43A3-A158-23FD7D007D30}" showGridLines="0">
      <selection activeCell="D1" sqref="D1"/>
      <pageMargins left="0" right="0" top="0" bottom="0" header="0" footer="0"/>
      <pageSetup paperSize="9" orientation="portrait" r:id="rId7"/>
    </customSheetView>
  </customSheetViews>
  <dataValidations count="1">
    <dataValidation type="list" allowBlank="1" showInputMessage="1" showErrorMessage="1" sqref="B139" xr:uid="{3601247B-6B63-499F-9930-16C36A292193}">
      <formula1>Switch</formula1>
    </dataValidation>
  </dataValidations>
  <pageMargins left="0" right="0" top="0" bottom="0" header="0" footer="0"/>
  <pageSetup paperSize="9" orientation="portrait" r:id="rId8"/>
  <legacy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C7E8FA"/>
  </sheetPr>
  <dimension ref="B1:BD81"/>
  <sheetViews>
    <sheetView showGridLines="0" zoomScaleNormal="100" workbookViewId="0"/>
  </sheetViews>
  <sheetFormatPr defaultColWidth="10" defaultRowHeight="15" customHeight="1"/>
  <cols>
    <col min="1" max="1" width="7.88671875" customWidth="1"/>
    <col min="2" max="2" width="63.109375" customWidth="1"/>
    <col min="3" max="3" width="7.88671875" customWidth="1"/>
    <col min="4" max="4" width="17.88671875" customWidth="1"/>
    <col min="5" max="37" width="7.88671875" customWidth="1"/>
  </cols>
  <sheetData>
    <row r="1" spans="2:56" ht="14.4"/>
    <row r="2" spans="2:56" s="282" customFormat="1" ht="15" customHeight="1">
      <c r="B2" s="166" t="s">
        <v>764</v>
      </c>
    </row>
    <row r="4" spans="2:56" ht="15" customHeight="1">
      <c r="F4" s="47">
        <v>2020</v>
      </c>
      <c r="G4" s="47">
        <v>2021</v>
      </c>
      <c r="H4" s="47">
        <v>2022</v>
      </c>
      <c r="I4" s="47">
        <v>2023</v>
      </c>
      <c r="J4" s="47">
        <v>2024</v>
      </c>
      <c r="K4" s="47">
        <v>2025</v>
      </c>
      <c r="L4" s="47">
        <v>2026</v>
      </c>
      <c r="M4" s="47">
        <v>2027</v>
      </c>
      <c r="N4" s="47">
        <v>2028</v>
      </c>
      <c r="O4" s="47">
        <v>2029</v>
      </c>
      <c r="P4" s="47">
        <v>2030</v>
      </c>
      <c r="Q4" s="47">
        <v>2031</v>
      </c>
      <c r="R4" s="47">
        <v>2032</v>
      </c>
      <c r="S4" s="47">
        <v>2033</v>
      </c>
      <c r="T4" s="47">
        <v>2034</v>
      </c>
      <c r="U4" s="47">
        <v>2035</v>
      </c>
      <c r="V4" s="47">
        <v>2036</v>
      </c>
      <c r="W4" s="47">
        <v>2037</v>
      </c>
      <c r="X4" s="47">
        <v>2038</v>
      </c>
      <c r="Y4" s="47">
        <v>2039</v>
      </c>
      <c r="Z4" s="47">
        <v>2040</v>
      </c>
      <c r="AA4" s="47">
        <v>2041</v>
      </c>
      <c r="AB4" s="47">
        <v>2042</v>
      </c>
      <c r="AC4" s="47">
        <v>2043</v>
      </c>
      <c r="AD4" s="47">
        <v>2044</v>
      </c>
      <c r="AE4" s="47">
        <v>2045</v>
      </c>
      <c r="AF4" s="47">
        <v>2046</v>
      </c>
      <c r="AG4" s="47">
        <v>2047</v>
      </c>
      <c r="AH4" s="47">
        <v>2048</v>
      </c>
      <c r="AI4" s="47">
        <v>2049</v>
      </c>
      <c r="AJ4" s="47">
        <v>2050</v>
      </c>
      <c r="AK4" s="48"/>
      <c r="AL4" s="48"/>
      <c r="AM4" s="48"/>
      <c r="AN4" s="48"/>
      <c r="AO4" s="48"/>
      <c r="AP4" s="48"/>
      <c r="AQ4" s="48"/>
      <c r="AR4" s="48"/>
      <c r="AS4" s="48"/>
      <c r="AT4" s="48"/>
      <c r="AU4" s="48"/>
      <c r="AV4" s="48"/>
      <c r="AW4" s="48"/>
      <c r="AX4" s="48"/>
      <c r="AY4" s="48"/>
      <c r="AZ4" s="48"/>
      <c r="BA4" s="48"/>
      <c r="BB4" s="48"/>
      <c r="BC4" s="48"/>
      <c r="BD4" s="48"/>
    </row>
    <row r="5" spans="2:56" ht="15" customHeight="1">
      <c r="B5" s="28" t="s">
        <v>763</v>
      </c>
      <c r="D5" s="494" t="s">
        <v>404</v>
      </c>
      <c r="F5" s="475">
        <v>0.1564460808049728</v>
      </c>
      <c r="G5" s="475">
        <v>0.14594895606019295</v>
      </c>
      <c r="H5" s="475">
        <v>0.13636256314914272</v>
      </c>
      <c r="I5" s="475">
        <v>0.13080411441930184</v>
      </c>
      <c r="J5" s="475">
        <v>0.14271957781796465</v>
      </c>
      <c r="K5" s="475">
        <v>0.12070951950055164</v>
      </c>
      <c r="L5" s="475">
        <v>8.8982908679818548E-2</v>
      </c>
      <c r="M5" s="475">
        <v>7.3641387071983908E-2</v>
      </c>
      <c r="N5" s="475">
        <v>6.8095542299434375E-2</v>
      </c>
      <c r="O5" s="475">
        <v>6.3758008723220419E-2</v>
      </c>
      <c r="P5" s="475">
        <v>5.0602464755619796E-2</v>
      </c>
      <c r="Q5" s="475">
        <v>4.0073648471490149E-2</v>
      </c>
      <c r="R5" s="475">
        <v>3.4636467892906767E-2</v>
      </c>
      <c r="S5" s="475">
        <v>3.0079346314835137E-2</v>
      </c>
      <c r="T5" s="475">
        <v>2.7306471183843117E-2</v>
      </c>
      <c r="U5" s="475">
        <v>2.4359963187231357E-2</v>
      </c>
      <c r="V5" s="475">
        <v>2.0151152674820948E-2</v>
      </c>
      <c r="W5" s="475">
        <v>1.7923693200098494E-2</v>
      </c>
      <c r="X5" s="475">
        <v>1.7508069717807766E-2</v>
      </c>
      <c r="Y5" s="475">
        <v>1.6577274017310833E-2</v>
      </c>
      <c r="Z5" s="475">
        <v>1.5021658698556857E-2</v>
      </c>
      <c r="AA5" s="475">
        <v>1.2470055748292005E-2</v>
      </c>
      <c r="AB5" s="475">
        <v>1.1834272293394109E-2</v>
      </c>
      <c r="AC5" s="475">
        <v>1.159265663783959E-2</v>
      </c>
      <c r="AD5" s="475">
        <v>1.0895924975333761E-2</v>
      </c>
      <c r="AE5" s="475">
        <v>9.2531673895783276E-3</v>
      </c>
      <c r="AF5" s="475">
        <v>8.4010988937208535E-3</v>
      </c>
      <c r="AG5" s="475">
        <v>7.7461661206303239E-3</v>
      </c>
      <c r="AH5" s="475">
        <v>7.351916580840492E-3</v>
      </c>
      <c r="AI5" s="475">
        <v>6.8412596173178918E-3</v>
      </c>
      <c r="AJ5" s="475">
        <v>6.7238076579303396E-3</v>
      </c>
      <c r="AK5" s="48"/>
      <c r="AL5" s="48"/>
      <c r="AM5" s="48"/>
      <c r="AN5" s="48"/>
      <c r="AO5" s="48"/>
      <c r="AP5" s="48"/>
      <c r="AQ5" s="48"/>
      <c r="AR5" s="48"/>
      <c r="AS5" s="48"/>
      <c r="AT5" s="48"/>
      <c r="AU5" s="48"/>
      <c r="AV5" s="48"/>
      <c r="AW5" s="48"/>
      <c r="AX5" s="48"/>
      <c r="AY5" s="48"/>
      <c r="AZ5" s="48"/>
      <c r="BA5" s="48"/>
      <c r="BB5" s="48"/>
      <c r="BC5" s="48"/>
      <c r="BD5" s="48"/>
    </row>
    <row r="6" spans="2:56" ht="15" customHeight="1">
      <c r="N6" s="53"/>
      <c r="AK6" s="49"/>
      <c r="AL6" s="48"/>
      <c r="AM6" s="49"/>
      <c r="AN6" s="48"/>
      <c r="AO6" s="49"/>
      <c r="AP6" s="48"/>
      <c r="AQ6" s="49"/>
      <c r="AR6" s="48"/>
      <c r="AS6" s="49"/>
      <c r="AT6" s="48"/>
      <c r="AU6" s="49"/>
      <c r="AV6" s="48"/>
      <c r="AW6" s="49"/>
      <c r="AX6" s="48"/>
      <c r="AY6" s="49"/>
      <c r="AZ6" s="48"/>
      <c r="BA6" s="49"/>
      <c r="BB6" s="48"/>
      <c r="BC6" s="49"/>
      <c r="BD6" s="48"/>
    </row>
    <row r="7" spans="2:56" ht="15" customHeight="1">
      <c r="B7" t="s">
        <v>405</v>
      </c>
      <c r="AK7" s="49"/>
      <c r="AL7" s="48"/>
      <c r="AM7" s="49"/>
      <c r="AN7" s="48"/>
      <c r="AO7" s="49"/>
      <c r="AP7" s="48"/>
      <c r="AQ7" s="49"/>
      <c r="AR7" s="48"/>
      <c r="AS7" s="49"/>
      <c r="AT7" s="48"/>
      <c r="AU7" s="49"/>
      <c r="AV7" s="48"/>
      <c r="AW7" s="49"/>
      <c r="AX7" s="48"/>
      <c r="AY7" s="49"/>
      <c r="AZ7" s="48"/>
      <c r="BA7" s="49"/>
      <c r="BB7" s="48"/>
      <c r="BC7" s="49"/>
      <c r="BD7" s="48"/>
    </row>
    <row r="8" spans="2:56" ht="15" customHeight="1">
      <c r="B8" t="s">
        <v>406</v>
      </c>
      <c r="AK8" s="49"/>
      <c r="AL8" s="48"/>
      <c r="AM8" s="49"/>
      <c r="AN8" s="48"/>
      <c r="AO8" s="49"/>
      <c r="AP8" s="48"/>
      <c r="AQ8" s="49"/>
      <c r="AR8" s="48"/>
      <c r="AS8" s="49"/>
      <c r="AT8" s="48"/>
      <c r="AU8" s="49"/>
      <c r="AV8" s="48"/>
      <c r="AW8" s="49"/>
      <c r="AX8" s="48"/>
      <c r="AY8" s="49"/>
      <c r="AZ8" s="48"/>
      <c r="BA8" s="49"/>
      <c r="BB8" s="48"/>
      <c r="BC8" s="49"/>
      <c r="BD8" s="48"/>
    </row>
    <row r="9" spans="2:56" ht="15" customHeight="1">
      <c r="B9" t="s">
        <v>407</v>
      </c>
      <c r="C9" s="48"/>
      <c r="D9" s="48"/>
      <c r="E9" s="48"/>
      <c r="F9" s="48"/>
      <c r="G9" s="48"/>
      <c r="H9" s="48"/>
      <c r="I9" s="48"/>
      <c r="J9" s="48"/>
      <c r="K9" s="48"/>
      <c r="L9" s="48"/>
      <c r="M9" s="48"/>
      <c r="N9" s="48"/>
      <c r="O9" s="48"/>
      <c r="P9" s="48"/>
      <c r="Q9" s="48"/>
      <c r="R9" s="48"/>
      <c r="S9" s="48"/>
      <c r="T9" s="48"/>
      <c r="U9" s="48"/>
      <c r="V9" s="48"/>
      <c r="W9" s="48"/>
      <c r="X9" s="48"/>
      <c r="Y9" s="48"/>
      <c r="Z9" s="48"/>
      <c r="AA9" s="49"/>
      <c r="AB9" s="48"/>
      <c r="AC9" s="49"/>
      <c r="AD9" s="48"/>
      <c r="AE9" s="49"/>
      <c r="AF9" s="48"/>
      <c r="AG9" s="49"/>
      <c r="AH9" s="48"/>
      <c r="AI9" s="49"/>
      <c r="AJ9" s="48"/>
      <c r="AK9" s="49"/>
      <c r="AL9" s="48"/>
      <c r="AM9" s="49"/>
      <c r="AN9" s="48"/>
      <c r="AO9" s="49"/>
      <c r="AP9" s="48"/>
      <c r="AQ9" s="49"/>
      <c r="AR9" s="48"/>
      <c r="AS9" s="49"/>
      <c r="AT9" s="48"/>
      <c r="AU9" s="49"/>
      <c r="AV9" s="48"/>
      <c r="AW9" s="49"/>
      <c r="AX9" s="48"/>
      <c r="AY9" s="49"/>
      <c r="AZ9" s="48"/>
      <c r="BA9" s="49"/>
      <c r="BB9" s="48"/>
      <c r="BC9" s="49"/>
      <c r="BD9" s="48"/>
    </row>
    <row r="10" spans="2:56" ht="15" customHeight="1">
      <c r="B10" t="s">
        <v>408</v>
      </c>
      <c r="C10" s="48"/>
      <c r="D10" s="48"/>
      <c r="E10" s="48"/>
      <c r="F10" s="48"/>
      <c r="G10" s="48"/>
      <c r="H10" s="48"/>
      <c r="I10" s="48"/>
      <c r="J10" s="48"/>
      <c r="K10" s="48"/>
      <c r="L10" s="48"/>
      <c r="M10" s="48"/>
      <c r="N10" s="48"/>
      <c r="O10" s="48"/>
      <c r="P10" s="48"/>
      <c r="Q10" s="48"/>
      <c r="R10" s="48"/>
      <c r="S10" s="48"/>
      <c r="T10" s="48"/>
      <c r="U10" s="48"/>
      <c r="V10" s="48"/>
      <c r="W10" s="48"/>
      <c r="X10" s="48"/>
      <c r="Y10" s="48"/>
      <c r="Z10" s="48"/>
      <c r="AA10" s="49"/>
      <c r="AB10" s="48"/>
      <c r="AC10" s="49"/>
      <c r="AD10" s="48"/>
      <c r="AE10" s="49"/>
      <c r="AF10" s="48"/>
      <c r="AG10" s="49"/>
      <c r="AH10" s="48"/>
      <c r="AI10" s="49"/>
      <c r="AJ10" s="48"/>
      <c r="AK10" s="49"/>
      <c r="AL10" s="48"/>
      <c r="AM10" s="49"/>
      <c r="AN10" s="48"/>
      <c r="AO10" s="49"/>
      <c r="AP10" s="48"/>
      <c r="AQ10" s="49"/>
      <c r="AR10" s="48"/>
      <c r="AS10" s="49"/>
      <c r="AT10" s="48"/>
      <c r="AU10" s="49"/>
      <c r="AV10" s="48"/>
      <c r="AW10" s="49"/>
      <c r="AX10" s="48"/>
      <c r="AY10" s="49"/>
      <c r="AZ10" s="48"/>
      <c r="BA10" s="49"/>
      <c r="BB10" s="48"/>
      <c r="BC10" s="49"/>
      <c r="BD10" s="48"/>
    </row>
    <row r="11" spans="2:56" ht="15" customHeight="1">
      <c r="B11" t="s">
        <v>913</v>
      </c>
      <c r="C11" s="48"/>
      <c r="D11" s="48"/>
      <c r="E11" s="48"/>
      <c r="F11" s="48"/>
      <c r="G11" s="48"/>
      <c r="H11" s="48"/>
      <c r="I11" s="48"/>
      <c r="J11" s="48"/>
      <c r="K11" s="48"/>
      <c r="L11" s="48"/>
      <c r="M11" s="48"/>
      <c r="N11" s="48"/>
      <c r="O11" s="48"/>
      <c r="P11" s="48"/>
      <c r="Q11" s="48"/>
      <c r="R11" s="48"/>
      <c r="S11" s="48"/>
      <c r="T11" s="48"/>
      <c r="U11" s="48"/>
      <c r="V11" s="48"/>
      <c r="W11" s="48"/>
      <c r="X11" s="48"/>
      <c r="Y11" s="48"/>
      <c r="Z11" s="48"/>
      <c r="AA11" s="49"/>
      <c r="AB11" s="48"/>
      <c r="AC11" s="49"/>
      <c r="AD11" s="48"/>
      <c r="AE11" s="49"/>
      <c r="AF11" s="48"/>
      <c r="AG11" s="49"/>
      <c r="AH11" s="48"/>
      <c r="AI11" s="49"/>
      <c r="AJ11" s="48"/>
      <c r="AK11" s="49"/>
      <c r="AL11" s="48"/>
      <c r="AM11" s="49"/>
      <c r="AN11" s="48"/>
      <c r="AO11" s="49"/>
      <c r="AP11" s="48"/>
      <c r="AQ11" s="49"/>
      <c r="AR11" s="48"/>
      <c r="AS11" s="49"/>
      <c r="AT11" s="48"/>
      <c r="AU11" s="49"/>
      <c r="AV11" s="48"/>
      <c r="AW11" s="49"/>
      <c r="AX11" s="48"/>
      <c r="AY11" s="49"/>
      <c r="AZ11" s="48"/>
      <c r="BA11" s="49"/>
      <c r="BB11" s="48"/>
      <c r="BC11" s="49"/>
      <c r="BD11" s="48"/>
    </row>
    <row r="12" spans="2:56" ht="15" customHeight="1">
      <c r="C12" s="48"/>
      <c r="D12" s="48"/>
      <c r="E12" s="48"/>
      <c r="F12" s="48"/>
      <c r="G12" s="48"/>
      <c r="H12" s="48"/>
      <c r="I12" s="48"/>
      <c r="J12" s="48"/>
      <c r="K12" s="48"/>
      <c r="L12" s="48"/>
      <c r="M12" s="48"/>
      <c r="N12" s="48"/>
      <c r="O12" s="48"/>
      <c r="P12" s="48"/>
      <c r="Q12" s="48"/>
      <c r="R12" s="48"/>
      <c r="S12" s="48"/>
      <c r="T12" s="48"/>
      <c r="U12" s="48"/>
      <c r="V12" s="48"/>
      <c r="W12" s="48"/>
      <c r="X12" s="48"/>
      <c r="Y12" s="48"/>
      <c r="Z12" s="48"/>
      <c r="AA12" s="49"/>
      <c r="AB12" s="48"/>
      <c r="AC12" s="49"/>
      <c r="AD12" s="48"/>
      <c r="AE12" s="49"/>
      <c r="AF12" s="48"/>
      <c r="AG12" s="49"/>
      <c r="AH12" s="48"/>
      <c r="AI12" s="49"/>
      <c r="AJ12" s="48"/>
      <c r="AK12" s="49"/>
      <c r="AL12" s="48"/>
      <c r="AM12" s="49"/>
      <c r="AN12" s="48"/>
      <c r="AO12" s="49"/>
      <c r="AP12" s="48"/>
      <c r="AQ12" s="49"/>
      <c r="AR12" s="48"/>
      <c r="AS12" s="49"/>
      <c r="AT12" s="48"/>
      <c r="AU12" s="49"/>
      <c r="AV12" s="48"/>
      <c r="AW12" s="49"/>
      <c r="AX12" s="48"/>
      <c r="AY12" s="49"/>
      <c r="AZ12" s="48"/>
      <c r="BA12" s="49"/>
      <c r="BB12" s="48"/>
      <c r="BC12" s="49"/>
      <c r="BD12" s="48"/>
    </row>
    <row r="13" spans="2:56" ht="15" customHeight="1">
      <c r="B13" s="28" t="s">
        <v>720</v>
      </c>
      <c r="C13" s="476">
        <v>1.4E-2</v>
      </c>
      <c r="D13" s="4" t="s">
        <v>409</v>
      </c>
      <c r="H13" s="48"/>
      <c r="I13" s="48"/>
      <c r="J13" s="48"/>
      <c r="K13" s="48"/>
      <c r="L13" s="48"/>
      <c r="M13" s="48"/>
      <c r="N13" s="48"/>
      <c r="O13" s="48"/>
      <c r="P13" s="48"/>
      <c r="Q13" s="48"/>
      <c r="R13" s="48"/>
      <c r="S13" s="48"/>
      <c r="T13" s="48"/>
      <c r="U13" s="48"/>
      <c r="V13" s="48"/>
      <c r="W13" s="48"/>
      <c r="X13" s="48"/>
      <c r="Y13" s="48"/>
      <c r="Z13" s="48"/>
      <c r="AA13" s="49"/>
      <c r="AB13" s="48"/>
      <c r="AC13" s="49"/>
      <c r="AD13" s="48"/>
      <c r="AE13" s="49"/>
      <c r="AF13" s="48"/>
      <c r="AG13" s="49"/>
      <c r="AH13" s="48"/>
      <c r="AI13" s="49"/>
      <c r="AJ13" s="48"/>
      <c r="AK13" s="49"/>
      <c r="AL13" s="48"/>
      <c r="AM13" s="49"/>
      <c r="AN13" s="48"/>
      <c r="AO13" s="49"/>
      <c r="AP13" s="48"/>
      <c r="AQ13" s="49"/>
      <c r="AR13" s="48"/>
      <c r="AS13" s="49"/>
      <c r="AT13" s="48"/>
      <c r="AU13" s="49"/>
      <c r="AV13" s="48"/>
      <c r="AW13" s="49"/>
      <c r="AX13" s="48"/>
      <c r="AY13" s="49"/>
      <c r="AZ13" s="48"/>
      <c r="BA13" s="49"/>
      <c r="BB13" s="48"/>
      <c r="BC13" s="49"/>
      <c r="BD13" s="48"/>
    </row>
    <row r="14" spans="2:56" ht="15" customHeight="1">
      <c r="B14" s="28" t="s">
        <v>927</v>
      </c>
      <c r="C14" s="300">
        <v>0</v>
      </c>
      <c r="D14" s="4" t="s">
        <v>409</v>
      </c>
      <c r="H14" s="48"/>
      <c r="I14" s="48"/>
      <c r="J14" s="48"/>
      <c r="K14" s="48"/>
      <c r="L14" s="48"/>
      <c r="M14" s="48"/>
      <c r="N14" s="48"/>
      <c r="O14" s="48"/>
      <c r="P14" s="48"/>
      <c r="Q14" s="48"/>
      <c r="R14" s="48"/>
      <c r="S14" s="48"/>
      <c r="T14" s="48"/>
      <c r="U14" s="48"/>
      <c r="V14" s="48"/>
      <c r="W14" s="48"/>
      <c r="X14" s="48"/>
      <c r="Y14" s="48"/>
      <c r="Z14" s="48"/>
      <c r="AA14" s="49"/>
      <c r="AB14" s="48"/>
      <c r="AC14" s="49"/>
      <c r="AD14" s="48"/>
      <c r="AE14" s="49"/>
      <c r="AF14" s="48"/>
      <c r="AG14" s="49"/>
      <c r="AH14" s="48"/>
      <c r="AI14" s="49"/>
      <c r="AJ14" s="48"/>
      <c r="AK14" s="49"/>
      <c r="AL14" s="48"/>
      <c r="AM14" s="49"/>
      <c r="AN14" s="48"/>
      <c r="AO14" s="49"/>
      <c r="AP14" s="48"/>
      <c r="AQ14" s="49"/>
      <c r="AR14" s="48"/>
      <c r="AS14" s="49"/>
      <c r="AT14" s="48"/>
      <c r="AU14" s="49"/>
      <c r="AV14" s="48"/>
      <c r="AW14" s="49"/>
      <c r="AX14" s="48"/>
      <c r="AY14" s="49"/>
      <c r="AZ14" s="48"/>
      <c r="BA14" s="49"/>
      <c r="BB14" s="48"/>
      <c r="BC14" s="49"/>
      <c r="BD14" s="48"/>
    </row>
    <row r="15" spans="2:56" ht="15" customHeight="1">
      <c r="B15" t="s">
        <v>940</v>
      </c>
      <c r="C15" s="48"/>
      <c r="D15" s="48"/>
      <c r="E15" s="115"/>
      <c r="F15" s="48"/>
      <c r="G15" s="48"/>
      <c r="H15" s="48"/>
      <c r="I15" s="48"/>
      <c r="J15" s="48"/>
      <c r="K15" s="48"/>
      <c r="L15" s="48"/>
      <c r="M15" s="48"/>
      <c r="N15" s="48"/>
      <c r="O15" s="48"/>
      <c r="P15" s="48"/>
      <c r="Q15" s="48"/>
      <c r="R15" s="48"/>
      <c r="S15" s="48"/>
      <c r="T15" s="48"/>
      <c r="U15" s="48"/>
      <c r="V15" s="48"/>
      <c r="W15" s="48"/>
      <c r="X15" s="48"/>
      <c r="Y15" s="48"/>
      <c r="Z15" s="48"/>
      <c r="AA15" s="49"/>
      <c r="AB15" s="48"/>
      <c r="AC15" s="49"/>
      <c r="AD15" s="48"/>
      <c r="AE15" s="49"/>
      <c r="AF15" s="48"/>
      <c r="AG15" s="49"/>
      <c r="AH15" s="48"/>
      <c r="AI15" s="49"/>
      <c r="AJ15" s="48"/>
      <c r="AK15" s="49"/>
      <c r="AL15" s="48"/>
      <c r="AM15" s="49"/>
      <c r="AN15" s="48"/>
      <c r="AO15" s="49"/>
      <c r="AP15" s="48"/>
      <c r="AQ15" s="49"/>
      <c r="AR15" s="48"/>
      <c r="AS15" s="49"/>
      <c r="AT15" s="48"/>
      <c r="AU15" s="49"/>
      <c r="AV15" s="48"/>
      <c r="AW15" s="49"/>
      <c r="AX15" s="48"/>
      <c r="AY15" s="49"/>
      <c r="AZ15" s="48"/>
      <c r="BA15" s="49"/>
      <c r="BB15" s="48"/>
      <c r="BC15" s="49"/>
      <c r="BD15" s="48"/>
    </row>
    <row r="16" spans="2:56" ht="15" customHeight="1">
      <c r="C16" s="48"/>
      <c r="D16" s="48"/>
      <c r="E16" s="115"/>
      <c r="F16" s="48"/>
      <c r="G16" s="48"/>
      <c r="H16" s="48"/>
      <c r="I16" s="48"/>
      <c r="J16" s="48"/>
      <c r="K16" s="48"/>
      <c r="L16" s="48"/>
      <c r="M16" s="48"/>
      <c r="N16" s="48"/>
      <c r="O16" s="48"/>
      <c r="P16" s="48"/>
      <c r="Q16" s="48"/>
      <c r="R16" s="48"/>
      <c r="S16" s="48"/>
      <c r="T16" s="48"/>
      <c r="U16" s="48"/>
      <c r="V16" s="48"/>
      <c r="W16" s="48"/>
      <c r="X16" s="48"/>
      <c r="Y16" s="48"/>
      <c r="Z16" s="48"/>
      <c r="AA16" s="49"/>
      <c r="AB16" s="48"/>
      <c r="AC16" s="49"/>
      <c r="AD16" s="48"/>
      <c r="AE16" s="49"/>
      <c r="AF16" s="48"/>
      <c r="AG16" s="49"/>
      <c r="AH16" s="48"/>
      <c r="AI16" s="49"/>
      <c r="AJ16" s="48"/>
      <c r="AK16" s="49"/>
      <c r="AL16" s="48"/>
      <c r="AM16" s="49"/>
      <c r="AN16" s="48"/>
      <c r="AO16" s="49"/>
      <c r="AP16" s="48"/>
      <c r="AQ16" s="49"/>
      <c r="AR16" s="48"/>
      <c r="AS16" s="49"/>
      <c r="AT16" s="48"/>
      <c r="AU16" s="49"/>
      <c r="AV16" s="48"/>
      <c r="AW16" s="49"/>
      <c r="AX16" s="48"/>
      <c r="AY16" s="49"/>
      <c r="AZ16" s="48"/>
      <c r="BA16" s="49"/>
      <c r="BB16" s="48"/>
      <c r="BC16" s="49"/>
      <c r="BD16" s="48"/>
    </row>
    <row r="17" spans="2:56" s="282" customFormat="1" ht="15" customHeight="1">
      <c r="B17" s="166" t="s">
        <v>410</v>
      </c>
    </row>
    <row r="18" spans="2:56" ht="15" customHeight="1">
      <c r="C18" s="48"/>
      <c r="D18" s="48"/>
      <c r="E18" s="115"/>
      <c r="F18" s="48"/>
      <c r="G18" s="48"/>
      <c r="H18" s="48"/>
      <c r="I18" s="48"/>
      <c r="J18" s="48"/>
      <c r="K18" s="48"/>
      <c r="L18" s="48"/>
      <c r="M18" s="48"/>
      <c r="N18" s="48"/>
      <c r="O18" s="48"/>
      <c r="P18" s="48"/>
      <c r="Q18" s="48"/>
      <c r="R18" s="48"/>
      <c r="S18" s="48"/>
      <c r="T18" s="48"/>
      <c r="U18" s="48"/>
      <c r="V18" s="48"/>
      <c r="W18" s="48"/>
      <c r="X18" s="48"/>
      <c r="Y18" s="48"/>
      <c r="Z18" s="48"/>
      <c r="AA18" s="49"/>
      <c r="AB18" s="48"/>
      <c r="AC18" s="49"/>
      <c r="AD18" s="48"/>
      <c r="AE18" s="49"/>
      <c r="AF18" s="48"/>
      <c r="AG18" s="49"/>
      <c r="AH18" s="48"/>
      <c r="AI18" s="49"/>
      <c r="AJ18" s="48"/>
      <c r="AK18" s="49"/>
      <c r="AL18" s="48"/>
      <c r="AM18" s="49"/>
      <c r="AN18" s="48"/>
      <c r="AO18" s="49"/>
      <c r="AP18" s="48"/>
      <c r="AQ18" s="49"/>
      <c r="AR18" s="48"/>
      <c r="AS18" s="49"/>
      <c r="AT18" s="48"/>
      <c r="AU18" s="49"/>
      <c r="AV18" s="48"/>
      <c r="AW18" s="49"/>
      <c r="AX18" s="48"/>
      <c r="AY18" s="49"/>
      <c r="AZ18" s="48"/>
      <c r="BA18" s="49"/>
      <c r="BB18" s="48"/>
      <c r="BC18" s="49"/>
      <c r="BD18" s="48"/>
    </row>
    <row r="19" spans="2:56" ht="15" customHeight="1">
      <c r="B19" s="28" t="s">
        <v>411</v>
      </c>
      <c r="C19" s="300">
        <v>6.2930000000000001</v>
      </c>
      <c r="D19" s="4" t="s">
        <v>412</v>
      </c>
      <c r="E19" s="115"/>
      <c r="F19" s="48"/>
      <c r="G19" s="48"/>
      <c r="H19" s="48"/>
      <c r="I19" s="48"/>
      <c r="J19" s="48"/>
      <c r="K19" s="48"/>
      <c r="L19" s="48"/>
      <c r="M19" s="48"/>
      <c r="N19" s="48"/>
      <c r="O19" s="48"/>
      <c r="P19" s="48"/>
      <c r="Q19" s="48"/>
      <c r="R19" s="48"/>
      <c r="S19" s="48"/>
      <c r="T19" s="48"/>
      <c r="U19" s="48"/>
      <c r="V19" s="48"/>
      <c r="W19" s="48"/>
      <c r="X19" s="48"/>
      <c r="Y19" s="48"/>
      <c r="Z19" s="48"/>
      <c r="AA19" s="49"/>
      <c r="AB19" s="48"/>
      <c r="AC19" s="49"/>
      <c r="AD19" s="48"/>
      <c r="AE19" s="49"/>
      <c r="AF19" s="48"/>
      <c r="AG19" s="49"/>
      <c r="AH19" s="48"/>
      <c r="AI19" s="49"/>
      <c r="AJ19" s="48"/>
      <c r="AK19" s="49"/>
      <c r="AL19" s="48"/>
      <c r="AM19" s="49"/>
      <c r="AN19" s="48"/>
      <c r="AO19" s="49"/>
      <c r="AP19" s="48"/>
      <c r="AQ19" s="49"/>
      <c r="AR19" s="48"/>
      <c r="AS19" s="49"/>
      <c r="AT19" s="48"/>
      <c r="AU19" s="49"/>
      <c r="AV19" s="48"/>
      <c r="AW19" s="49"/>
      <c r="AX19" s="48"/>
      <c r="AY19" s="49"/>
      <c r="AZ19" s="48"/>
      <c r="BA19" s="49"/>
      <c r="BB19" s="48"/>
      <c r="BC19" s="49"/>
      <c r="BD19" s="48"/>
    </row>
    <row r="20" spans="2:56" ht="15" customHeight="1">
      <c r="B20" s="56"/>
      <c r="C20" s="48"/>
      <c r="D20" s="48"/>
      <c r="E20" s="115"/>
      <c r="F20" s="48"/>
      <c r="G20" s="48"/>
      <c r="H20" s="48"/>
      <c r="I20" s="48"/>
      <c r="J20" s="48"/>
      <c r="K20" s="48"/>
      <c r="L20" s="48"/>
      <c r="M20" s="48"/>
      <c r="N20" s="48"/>
      <c r="O20" s="48"/>
      <c r="P20" s="48"/>
      <c r="Q20" s="48"/>
      <c r="R20" s="48"/>
      <c r="S20" s="48"/>
      <c r="T20" s="48"/>
      <c r="U20" s="48"/>
      <c r="V20" s="48"/>
      <c r="W20" s="48"/>
      <c r="X20" s="48"/>
      <c r="Y20" s="48"/>
      <c r="Z20" s="48"/>
      <c r="AA20" s="49"/>
      <c r="AB20" s="48"/>
      <c r="AC20" s="49"/>
      <c r="AD20" s="48"/>
      <c r="AE20" s="49"/>
      <c r="AF20" s="48"/>
      <c r="AG20" s="49"/>
      <c r="AH20" s="48"/>
      <c r="AI20" s="49"/>
      <c r="AJ20" s="48"/>
      <c r="AK20" s="49"/>
      <c r="AL20" s="48"/>
      <c r="AM20" s="49"/>
      <c r="AN20" s="48"/>
      <c r="AO20" s="49"/>
      <c r="AP20" s="48"/>
      <c r="AQ20" s="49"/>
      <c r="AR20" s="48"/>
      <c r="AS20" s="49"/>
      <c r="AT20" s="48"/>
      <c r="AU20" s="49"/>
      <c r="AV20" s="48"/>
      <c r="AW20" s="49"/>
      <c r="AX20" s="48"/>
      <c r="AY20" s="49"/>
      <c r="AZ20" s="48"/>
      <c r="BA20" s="49"/>
      <c r="BB20" s="48"/>
      <c r="BC20" s="49"/>
      <c r="BD20" s="48"/>
    </row>
    <row r="21" spans="2:56" ht="15" customHeight="1">
      <c r="C21" s="48"/>
      <c r="D21" s="48"/>
      <c r="E21" s="48"/>
      <c r="F21" s="48"/>
      <c r="G21" s="48"/>
      <c r="H21" s="48"/>
      <c r="I21" s="48"/>
      <c r="J21" s="48"/>
      <c r="K21" s="48"/>
      <c r="L21" s="48"/>
      <c r="M21" s="48"/>
      <c r="N21" s="48"/>
      <c r="O21" s="48"/>
      <c r="P21" s="48"/>
      <c r="Q21" s="48"/>
      <c r="R21" s="48"/>
      <c r="S21" s="48"/>
      <c r="T21" s="48"/>
      <c r="U21" s="48"/>
      <c r="V21" s="48"/>
      <c r="W21" s="48"/>
      <c r="X21" s="48"/>
      <c r="Y21" s="48"/>
      <c r="Z21" s="48"/>
      <c r="AA21" s="49"/>
      <c r="AB21" s="48"/>
      <c r="AC21" s="49"/>
      <c r="AD21" s="48"/>
      <c r="AE21" s="49"/>
      <c r="AF21" s="48"/>
      <c r="AG21" s="49"/>
      <c r="AH21" s="48"/>
      <c r="AI21" s="49"/>
      <c r="AJ21" s="48"/>
      <c r="AK21" s="49"/>
      <c r="AL21" s="48"/>
      <c r="AM21" s="49"/>
      <c r="AN21" s="48"/>
      <c r="AO21" s="49"/>
      <c r="AP21" s="48"/>
      <c r="AQ21" s="49"/>
      <c r="AR21" s="48"/>
      <c r="AS21" s="49"/>
      <c r="AT21" s="48"/>
      <c r="AU21" s="49"/>
      <c r="AV21" s="48"/>
      <c r="AW21" s="49"/>
      <c r="AX21" s="48"/>
      <c r="AY21" s="49"/>
      <c r="AZ21" s="48"/>
      <c r="BA21" s="49"/>
      <c r="BB21" s="48"/>
      <c r="BC21" s="49"/>
      <c r="BD21" s="48"/>
    </row>
    <row r="22" spans="2:56" s="282" customFormat="1" ht="15" customHeight="1">
      <c r="B22" s="287" t="s">
        <v>413</v>
      </c>
      <c r="C22" s="287"/>
      <c r="D22" s="287"/>
      <c r="E22" s="287"/>
      <c r="F22" s="288"/>
      <c r="G22" s="288"/>
      <c r="H22" s="288"/>
      <c r="I22" s="288"/>
      <c r="J22" s="288"/>
      <c r="K22" s="288"/>
      <c r="L22" s="288"/>
      <c r="M22" s="288"/>
      <c r="N22" s="288"/>
      <c r="O22" s="288"/>
      <c r="P22" s="288"/>
      <c r="Q22" s="288"/>
      <c r="R22" s="288"/>
      <c r="S22" s="288"/>
      <c r="T22" s="288"/>
      <c r="U22" s="288"/>
      <c r="V22" s="288"/>
      <c r="W22" s="288"/>
      <c r="X22" s="288"/>
      <c r="Y22" s="288"/>
      <c r="Z22" s="288"/>
      <c r="AA22" s="289"/>
      <c r="AB22" s="288"/>
      <c r="AC22" s="289"/>
      <c r="AD22" s="288"/>
      <c r="AE22" s="289"/>
      <c r="AF22" s="288"/>
      <c r="AG22" s="289"/>
      <c r="AH22" s="288"/>
      <c r="AI22" s="289"/>
      <c r="AJ22" s="288"/>
      <c r="AK22" s="289"/>
      <c r="AL22" s="288"/>
      <c r="AM22" s="289"/>
      <c r="AN22" s="288"/>
      <c r="AO22" s="289"/>
      <c r="AP22" s="288"/>
      <c r="AQ22" s="289"/>
      <c r="AR22" s="288"/>
      <c r="AS22" s="289"/>
      <c r="AT22" s="288"/>
      <c r="AU22" s="289"/>
      <c r="AV22" s="288"/>
      <c r="AW22" s="289"/>
      <c r="AX22" s="288"/>
      <c r="AY22" s="289"/>
      <c r="AZ22" s="288"/>
      <c r="BA22" s="289"/>
      <c r="BB22" s="288"/>
      <c r="BC22" s="289"/>
      <c r="BD22" s="288"/>
    </row>
    <row r="23" spans="2:56" ht="15" customHeight="1">
      <c r="B23" s="50"/>
      <c r="C23" s="50"/>
      <c r="D23" s="50"/>
      <c r="E23" s="50"/>
      <c r="F23" s="48"/>
      <c r="G23" s="48"/>
      <c r="H23" s="48"/>
      <c r="I23" s="48"/>
      <c r="J23" s="48"/>
      <c r="K23" s="48"/>
      <c r="L23" s="48"/>
      <c r="M23" s="48"/>
      <c r="N23" s="48"/>
      <c r="O23" s="48"/>
      <c r="P23" s="48"/>
      <c r="Q23" s="48"/>
      <c r="R23" s="48"/>
      <c r="S23" s="48"/>
      <c r="T23" s="48"/>
      <c r="U23" s="48"/>
      <c r="V23" s="48"/>
      <c r="W23" s="48"/>
      <c r="X23" s="48"/>
      <c r="Y23" s="48"/>
      <c r="Z23" s="48"/>
      <c r="AA23" s="49"/>
      <c r="AB23" s="48"/>
      <c r="AC23" s="49"/>
      <c r="AD23" s="48"/>
      <c r="AE23" s="49"/>
      <c r="AF23" s="48"/>
      <c r="AG23" s="49"/>
      <c r="AH23" s="48"/>
      <c r="AI23" s="49"/>
      <c r="AJ23" s="48"/>
      <c r="AK23" s="49"/>
      <c r="AL23" s="48"/>
      <c r="AM23" s="49"/>
      <c r="AN23" s="48"/>
      <c r="AO23" s="49"/>
      <c r="AP23" s="48"/>
      <c r="AQ23" s="49"/>
      <c r="AR23" s="48"/>
      <c r="AS23" s="49"/>
      <c r="AT23" s="48"/>
      <c r="AU23" s="49"/>
      <c r="AV23" s="48"/>
      <c r="AW23" s="49"/>
      <c r="AX23" s="48"/>
      <c r="AY23" s="49"/>
      <c r="AZ23" s="48"/>
      <c r="BA23" s="49"/>
      <c r="BB23" s="48"/>
      <c r="BC23" s="49"/>
      <c r="BD23" s="48"/>
    </row>
    <row r="24" spans="2:56" ht="15" customHeight="1">
      <c r="B24" s="51" t="s">
        <v>414</v>
      </c>
      <c r="C24" s="50"/>
      <c r="D24" s="46" t="s">
        <v>700</v>
      </c>
      <c r="E24" s="50"/>
      <c r="F24" s="48"/>
      <c r="G24" s="48"/>
      <c r="H24" s="48"/>
      <c r="I24" s="48"/>
      <c r="J24" s="48"/>
      <c r="K24" s="48"/>
      <c r="L24" s="48"/>
      <c r="M24" s="48"/>
      <c r="N24" s="48"/>
      <c r="O24" s="48"/>
      <c r="P24" s="48"/>
      <c r="Q24" s="48"/>
      <c r="R24" s="48"/>
      <c r="S24" s="48"/>
      <c r="T24" s="48"/>
      <c r="U24" s="48"/>
      <c r="V24" s="48"/>
      <c r="W24" s="48"/>
      <c r="X24" s="48"/>
      <c r="Y24" s="48"/>
      <c r="Z24" s="48"/>
      <c r="AA24" s="49"/>
      <c r="AB24" s="48"/>
      <c r="AC24" s="49"/>
      <c r="AD24" s="48"/>
      <c r="AE24" s="49"/>
      <c r="AF24" s="48"/>
      <c r="AG24" s="49"/>
      <c r="AH24" s="48"/>
      <c r="AI24" s="49"/>
      <c r="AJ24" s="48"/>
      <c r="AK24" s="49"/>
      <c r="AL24" s="48"/>
      <c r="AM24" s="49"/>
      <c r="AN24" s="48"/>
      <c r="AO24" s="49"/>
      <c r="AP24" s="48"/>
      <c r="AQ24" s="49"/>
      <c r="AR24" s="48"/>
      <c r="AS24" s="49"/>
      <c r="AT24" s="48"/>
      <c r="AU24" s="49"/>
      <c r="AV24" s="48"/>
      <c r="AW24" s="49"/>
      <c r="AX24" s="48"/>
      <c r="AY24" s="49"/>
      <c r="AZ24" s="48"/>
      <c r="BA24" s="49"/>
      <c r="BB24" s="48"/>
      <c r="BC24" s="49"/>
      <c r="BD24" s="48"/>
    </row>
    <row r="25" spans="2:56" ht="15" customHeight="1">
      <c r="B25" s="51" t="s">
        <v>415</v>
      </c>
      <c r="C25" s="50"/>
      <c r="D25" s="46" t="s">
        <v>701</v>
      </c>
      <c r="E25" s="50"/>
      <c r="F25" s="48"/>
      <c r="G25" s="48"/>
      <c r="H25" s="48"/>
      <c r="I25" s="48"/>
      <c r="J25" s="48"/>
      <c r="K25" s="48"/>
      <c r="L25" s="48"/>
      <c r="M25" s="48"/>
      <c r="N25" s="48"/>
      <c r="O25" s="48"/>
      <c r="P25" s="48"/>
      <c r="Q25" s="48"/>
      <c r="R25" s="48"/>
      <c r="S25" s="48"/>
      <c r="T25" s="48"/>
      <c r="U25" s="48"/>
      <c r="V25" s="48"/>
      <c r="W25" s="48"/>
      <c r="X25" s="48"/>
      <c r="Y25" s="48"/>
      <c r="Z25" s="48"/>
      <c r="AA25" s="49"/>
      <c r="AB25" s="48"/>
      <c r="AC25" s="49"/>
      <c r="AD25" s="48"/>
      <c r="AE25" s="49"/>
      <c r="AF25" s="48"/>
      <c r="AG25" s="49"/>
      <c r="AH25" s="48"/>
      <c r="AI25" s="49"/>
      <c r="AJ25" s="48"/>
      <c r="AK25" s="49"/>
      <c r="AL25" s="48"/>
      <c r="AM25" s="49"/>
      <c r="AN25" s="48"/>
      <c r="AO25" s="49"/>
      <c r="AP25" s="48"/>
      <c r="AQ25" s="49"/>
      <c r="AR25" s="48"/>
      <c r="AS25" s="49"/>
      <c r="AT25" s="48"/>
      <c r="AU25" s="49"/>
      <c r="AV25" s="48"/>
      <c r="AW25" s="49"/>
      <c r="AX25" s="48"/>
      <c r="AY25" s="49"/>
      <c r="AZ25" s="48"/>
      <c r="BA25" s="49"/>
      <c r="BB25" s="48"/>
      <c r="BC25" s="49"/>
      <c r="BD25" s="48"/>
    </row>
    <row r="26" spans="2:56" ht="15" customHeight="1">
      <c r="B26" s="51" t="s">
        <v>416</v>
      </c>
      <c r="C26" s="50"/>
      <c r="D26" s="46" t="s">
        <v>417</v>
      </c>
      <c r="E26" s="50"/>
      <c r="F26" s="48"/>
      <c r="G26" s="48"/>
      <c r="H26" s="48"/>
      <c r="I26" s="48"/>
      <c r="J26" s="48"/>
      <c r="K26" s="48"/>
      <c r="L26" s="48"/>
      <c r="M26" s="48"/>
      <c r="N26" s="48"/>
      <c r="O26" s="48"/>
      <c r="P26" s="48"/>
      <c r="Q26" s="48"/>
      <c r="R26" s="48"/>
      <c r="S26" s="48"/>
      <c r="T26" s="48"/>
      <c r="U26" s="48"/>
      <c r="V26" s="48"/>
      <c r="W26" s="48"/>
      <c r="X26" s="48"/>
      <c r="Y26" s="48"/>
      <c r="Z26" s="48"/>
      <c r="AA26" s="49"/>
      <c r="AB26" s="48"/>
      <c r="AC26" s="49"/>
      <c r="AD26" s="48"/>
      <c r="AE26" s="49"/>
      <c r="AF26" s="48"/>
      <c r="AG26" s="49"/>
      <c r="AH26" s="48"/>
      <c r="AI26" s="49"/>
      <c r="AJ26" s="48"/>
      <c r="AK26" s="49"/>
      <c r="AL26" s="48"/>
      <c r="AM26" s="49"/>
      <c r="AN26" s="48"/>
      <c r="AO26" s="49"/>
      <c r="AP26" s="48"/>
      <c r="AQ26" s="49"/>
      <c r="AR26" s="48"/>
      <c r="AS26" s="49"/>
      <c r="AT26" s="48"/>
      <c r="AU26" s="49"/>
      <c r="AV26" s="48"/>
      <c r="AW26" s="49"/>
      <c r="AX26" s="48"/>
      <c r="AY26" s="49"/>
      <c r="AZ26" s="48"/>
      <c r="BA26" s="49"/>
      <c r="BB26" s="48"/>
      <c r="BC26" s="49"/>
      <c r="BD26" s="48"/>
    </row>
    <row r="27" spans="2:56" ht="15" customHeight="1">
      <c r="B27" s="51" t="s">
        <v>418</v>
      </c>
      <c r="C27" s="50"/>
      <c r="D27" s="46" t="s">
        <v>419</v>
      </c>
      <c r="E27" s="50"/>
      <c r="F27" s="48"/>
      <c r="G27" s="48"/>
      <c r="H27" s="48"/>
      <c r="I27" s="48"/>
      <c r="J27" s="48"/>
      <c r="K27" s="48"/>
      <c r="L27" s="48"/>
      <c r="M27" s="48"/>
      <c r="N27" s="48"/>
      <c r="O27" s="48"/>
      <c r="P27" s="48"/>
      <c r="Q27" s="48"/>
      <c r="R27" s="48"/>
      <c r="S27" s="48"/>
      <c r="T27" s="48"/>
      <c r="U27" s="48"/>
      <c r="V27" s="48"/>
      <c r="W27" s="48"/>
      <c r="X27" s="48"/>
      <c r="Y27" s="48"/>
      <c r="Z27" s="48"/>
      <c r="AA27" s="49"/>
      <c r="AB27" s="48"/>
      <c r="AC27" s="49"/>
      <c r="AD27" s="48"/>
      <c r="AE27" s="49"/>
      <c r="AF27" s="48"/>
      <c r="AG27" s="49"/>
      <c r="AH27" s="48"/>
      <c r="AI27" s="49"/>
      <c r="AJ27" s="48"/>
      <c r="AK27" s="49"/>
      <c r="AL27" s="48"/>
      <c r="AM27" s="49"/>
      <c r="AN27" s="48"/>
      <c r="AO27" s="49"/>
      <c r="AP27" s="48"/>
      <c r="AQ27" s="49"/>
      <c r="AR27" s="48"/>
      <c r="AS27" s="49"/>
      <c r="AT27" s="48"/>
      <c r="AU27" s="49"/>
      <c r="AV27" s="48"/>
      <c r="AW27" s="49"/>
      <c r="AX27" s="48"/>
      <c r="AY27" s="49"/>
      <c r="AZ27" s="48"/>
      <c r="BA27" s="49"/>
      <c r="BB27" s="48"/>
      <c r="BC27" s="49"/>
      <c r="BD27" s="48"/>
    </row>
    <row r="28" spans="2:56" ht="15" customHeight="1">
      <c r="B28" s="50"/>
      <c r="C28" s="50"/>
      <c r="D28" s="50"/>
      <c r="E28" s="50"/>
      <c r="F28" s="48"/>
      <c r="G28" s="48"/>
      <c r="H28" s="48"/>
      <c r="I28" s="48"/>
      <c r="J28" s="48"/>
      <c r="K28" s="48"/>
      <c r="L28" s="48"/>
      <c r="M28" s="48"/>
      <c r="N28" s="48"/>
      <c r="O28" s="48"/>
      <c r="P28" s="48"/>
      <c r="Q28" s="48"/>
      <c r="R28" s="48"/>
      <c r="S28" s="48"/>
      <c r="T28" s="48"/>
      <c r="U28" s="48"/>
      <c r="V28" s="48"/>
      <c r="W28" s="48"/>
      <c r="X28" s="48"/>
      <c r="Y28" s="48"/>
      <c r="Z28" s="48"/>
      <c r="AA28" s="49"/>
      <c r="AB28" s="48"/>
      <c r="AC28" s="49"/>
      <c r="AD28" s="48"/>
      <c r="AE28" s="49"/>
      <c r="AF28" s="48"/>
      <c r="AG28" s="49"/>
      <c r="AH28" s="48"/>
      <c r="AI28" s="49"/>
      <c r="AJ28" s="48"/>
      <c r="AK28" s="49"/>
      <c r="AL28" s="48"/>
      <c r="AM28" s="49"/>
      <c r="AN28" s="48"/>
      <c r="AO28" s="49"/>
      <c r="AP28" s="48"/>
      <c r="AQ28" s="49"/>
      <c r="AR28" s="48"/>
      <c r="AS28" s="49"/>
      <c r="AT28" s="48"/>
      <c r="AU28" s="49"/>
      <c r="AV28" s="48"/>
      <c r="AW28" s="49"/>
      <c r="AX28" s="48"/>
      <c r="AY28" s="49"/>
      <c r="AZ28" s="48"/>
      <c r="BA28" s="49"/>
      <c r="BB28" s="48"/>
      <c r="BC28" s="49"/>
      <c r="BD28" s="48"/>
    </row>
    <row r="29" spans="2:56" ht="15" customHeight="1">
      <c r="B29" s="52" t="s">
        <v>420</v>
      </c>
      <c r="D29" s="29" t="s">
        <v>421</v>
      </c>
      <c r="E29" s="51"/>
      <c r="F29" s="48"/>
      <c r="G29" s="48"/>
      <c r="H29" s="48"/>
      <c r="I29" s="48"/>
      <c r="J29" s="48"/>
      <c r="K29" s="48"/>
      <c r="L29" s="48"/>
      <c r="M29" s="48"/>
      <c r="N29" s="48"/>
      <c r="O29" s="48"/>
      <c r="P29" s="48"/>
      <c r="Q29" s="48"/>
      <c r="R29" s="48"/>
      <c r="S29" s="48"/>
      <c r="T29" s="48"/>
      <c r="U29" s="48"/>
      <c r="V29" s="48"/>
      <c r="W29" s="48"/>
      <c r="X29" s="48"/>
      <c r="Y29" s="48"/>
      <c r="Z29" s="48"/>
      <c r="AA29" s="49"/>
      <c r="AB29" s="48"/>
      <c r="AC29" s="49"/>
      <c r="AD29" s="48"/>
      <c r="AE29" s="49"/>
      <c r="AF29" s="48"/>
      <c r="AG29" s="49"/>
      <c r="AH29" s="48"/>
      <c r="AI29" s="49"/>
      <c r="AJ29" s="48"/>
      <c r="AK29" s="49"/>
      <c r="AL29" s="48"/>
      <c r="AM29" s="49"/>
      <c r="AN29" s="48"/>
      <c r="AO29" s="49"/>
      <c r="AP29" s="48"/>
      <c r="AQ29" s="49"/>
      <c r="AR29" s="48"/>
      <c r="AS29" s="49"/>
      <c r="AT29" s="48"/>
      <c r="AU29" s="49"/>
      <c r="AV29" s="48"/>
      <c r="AW29" s="49"/>
      <c r="AX29" s="48"/>
      <c r="AY29" s="49"/>
      <c r="AZ29" s="48"/>
      <c r="BA29" s="49"/>
      <c r="BB29" s="48"/>
      <c r="BC29" s="49"/>
      <c r="BD29" s="48"/>
    </row>
    <row r="30" spans="2:56" ht="15" customHeight="1">
      <c r="B30" s="51" t="s">
        <v>422</v>
      </c>
      <c r="D30" s="29" t="s">
        <v>423</v>
      </c>
      <c r="E30" s="51"/>
      <c r="F30" s="48"/>
      <c r="G30" s="48"/>
      <c r="H30" s="48"/>
      <c r="I30" s="48"/>
      <c r="J30" s="48"/>
      <c r="K30" s="48"/>
      <c r="L30" s="48"/>
      <c r="M30" s="48"/>
      <c r="N30" s="48"/>
      <c r="O30" s="48"/>
      <c r="P30" s="48"/>
      <c r="Q30" s="48"/>
      <c r="R30" s="48"/>
      <c r="S30" s="48"/>
      <c r="T30" s="48"/>
      <c r="U30" s="48"/>
      <c r="V30" s="48"/>
      <c r="W30" s="48"/>
      <c r="X30" s="48"/>
      <c r="Y30" s="48"/>
      <c r="Z30" s="48"/>
      <c r="AA30" s="49"/>
      <c r="AB30" s="48"/>
      <c r="AC30" s="49"/>
      <c r="AD30" s="48"/>
      <c r="AE30" s="49"/>
      <c r="AF30" s="48"/>
      <c r="AG30" s="49"/>
      <c r="AH30" s="48"/>
      <c r="AI30" s="49"/>
      <c r="AJ30" s="48"/>
      <c r="AK30" s="49"/>
      <c r="AL30" s="48"/>
      <c r="AM30" s="49"/>
      <c r="AN30" s="48"/>
      <c r="AO30" s="49"/>
      <c r="AP30" s="48"/>
      <c r="AQ30" s="49"/>
      <c r="AR30" s="48"/>
      <c r="AS30" s="49"/>
      <c r="AT30" s="48"/>
      <c r="AU30" s="49"/>
      <c r="AV30" s="48"/>
      <c r="AW30" s="49"/>
      <c r="AX30" s="48"/>
      <c r="AY30" s="49"/>
      <c r="AZ30" s="48"/>
      <c r="BA30" s="49"/>
      <c r="BB30" s="48"/>
      <c r="BC30" s="49"/>
      <c r="BD30" s="48"/>
    </row>
    <row r="31" spans="2:56" ht="15" customHeight="1">
      <c r="B31" s="51" t="s">
        <v>424</v>
      </c>
      <c r="D31" s="29" t="s">
        <v>425</v>
      </c>
      <c r="E31" s="51"/>
      <c r="F31" s="48"/>
      <c r="G31" s="48"/>
      <c r="H31" s="48"/>
      <c r="I31" s="48"/>
      <c r="J31" s="48"/>
      <c r="K31" s="48"/>
      <c r="L31" s="48"/>
      <c r="M31" s="48"/>
      <c r="N31" s="48"/>
      <c r="O31" s="48"/>
      <c r="P31" s="48"/>
      <c r="Q31" s="48"/>
      <c r="R31" s="48"/>
      <c r="S31" s="48"/>
      <c r="T31" s="48"/>
      <c r="U31" s="48"/>
      <c r="V31" s="48"/>
      <c r="W31" s="48"/>
      <c r="X31" s="48"/>
      <c r="Y31" s="48"/>
      <c r="Z31" s="48"/>
      <c r="AA31" s="49"/>
      <c r="AB31" s="48"/>
      <c r="AC31" s="49"/>
      <c r="AD31" s="48"/>
      <c r="AE31" s="49"/>
      <c r="AF31" s="48"/>
      <c r="AG31" s="49"/>
      <c r="AH31" s="48"/>
      <c r="AI31" s="49"/>
      <c r="AJ31" s="48"/>
      <c r="AK31" s="49"/>
      <c r="AL31" s="48"/>
      <c r="AM31" s="49"/>
      <c r="AN31" s="48"/>
      <c r="AO31" s="49"/>
      <c r="AP31" s="48"/>
      <c r="AQ31" s="49"/>
      <c r="AR31" s="48"/>
      <c r="AS31" s="49"/>
      <c r="AT31" s="48"/>
      <c r="AU31" s="49"/>
      <c r="AV31" s="48"/>
      <c r="AW31" s="49"/>
      <c r="AX31" s="48"/>
      <c r="AY31" s="49"/>
      <c r="AZ31" s="48"/>
      <c r="BA31" s="49"/>
      <c r="BB31" s="48"/>
      <c r="BC31" s="49"/>
      <c r="BD31" s="48"/>
    </row>
    <row r="32" spans="2:56" ht="15" customHeight="1">
      <c r="B32" s="51"/>
      <c r="D32" s="51"/>
      <c r="E32" s="51"/>
      <c r="F32" s="48"/>
      <c r="G32" s="48"/>
      <c r="H32" s="48"/>
      <c r="I32" s="48"/>
      <c r="J32" s="48"/>
      <c r="K32" s="48"/>
      <c r="L32" s="48"/>
      <c r="M32" s="48"/>
      <c r="N32" s="48"/>
      <c r="O32" s="48"/>
      <c r="P32" s="48"/>
      <c r="Q32" s="48"/>
      <c r="R32" s="48"/>
      <c r="S32" s="48"/>
      <c r="T32" s="48"/>
      <c r="U32" s="48"/>
      <c r="V32" s="48"/>
      <c r="W32" s="48"/>
      <c r="X32" s="48"/>
      <c r="Y32" s="48"/>
      <c r="Z32" s="48"/>
      <c r="AA32" s="49"/>
      <c r="AB32" s="48"/>
      <c r="AC32" s="49"/>
      <c r="AD32" s="48"/>
      <c r="AE32" s="49"/>
      <c r="AF32" s="48"/>
      <c r="AG32" s="49"/>
      <c r="AH32" s="48"/>
      <c r="AI32" s="49"/>
      <c r="AJ32" s="48"/>
      <c r="AK32" s="49"/>
      <c r="AL32" s="48"/>
      <c r="AM32" s="49"/>
      <c r="AN32" s="48"/>
      <c r="AO32" s="49"/>
      <c r="AP32" s="48"/>
      <c r="AQ32" s="49"/>
      <c r="AR32" s="48"/>
      <c r="AS32" s="49"/>
      <c r="AT32" s="48"/>
      <c r="AU32" s="49"/>
      <c r="AV32" s="48"/>
      <c r="AW32" s="49"/>
      <c r="AX32" s="48"/>
      <c r="AY32" s="49"/>
      <c r="AZ32" s="48"/>
      <c r="BA32" s="49"/>
      <c r="BB32" s="48"/>
      <c r="BC32" s="49"/>
      <c r="BD32" s="48"/>
    </row>
    <row r="33" spans="2:56" ht="15" customHeight="1">
      <c r="B33" s="51" t="s">
        <v>426</v>
      </c>
      <c r="D33" s="29" t="s">
        <v>427</v>
      </c>
      <c r="E33" s="51"/>
      <c r="F33" s="48"/>
      <c r="G33" s="48"/>
      <c r="H33" s="48"/>
      <c r="I33" s="48"/>
      <c r="J33" s="48"/>
      <c r="K33" s="48"/>
      <c r="L33" s="48"/>
      <c r="M33" s="48"/>
      <c r="N33" s="48"/>
      <c r="O33" s="48"/>
      <c r="P33" s="48"/>
      <c r="Q33" s="48"/>
      <c r="R33" s="48"/>
      <c r="S33" s="48"/>
      <c r="T33" s="48"/>
      <c r="U33" s="48"/>
      <c r="V33" s="48"/>
      <c r="W33" s="48"/>
      <c r="X33" s="48"/>
      <c r="Y33" s="48"/>
      <c r="Z33" s="48"/>
      <c r="AA33" s="49"/>
      <c r="AB33" s="48"/>
      <c r="AC33" s="49"/>
      <c r="AD33" s="48"/>
      <c r="AE33" s="49"/>
      <c r="AF33" s="48"/>
      <c r="AG33" s="49"/>
      <c r="AH33" s="48"/>
      <c r="AI33" s="49"/>
      <c r="AJ33" s="48"/>
      <c r="AK33" s="49"/>
      <c r="AL33" s="48"/>
      <c r="AM33" s="49"/>
      <c r="AN33" s="48"/>
      <c r="AO33" s="49"/>
      <c r="AP33" s="48"/>
      <c r="AQ33" s="49"/>
      <c r="AR33" s="48"/>
      <c r="AS33" s="49"/>
      <c r="AT33" s="48"/>
      <c r="AU33" s="49"/>
      <c r="AV33" s="48"/>
      <c r="AW33" s="49"/>
      <c r="AX33" s="48"/>
      <c r="AY33" s="49"/>
      <c r="AZ33" s="48"/>
      <c r="BA33" s="49"/>
      <c r="BB33" s="48"/>
      <c r="BC33" s="49"/>
      <c r="BD33" s="48"/>
    </row>
    <row r="34" spans="2:56" ht="15" customHeight="1">
      <c r="B34" t="s">
        <v>428</v>
      </c>
      <c r="D34" s="29" t="s">
        <v>429</v>
      </c>
      <c r="E34" s="51"/>
      <c r="F34" s="48"/>
      <c r="G34" s="48"/>
      <c r="H34" s="48"/>
      <c r="I34" s="48"/>
      <c r="J34" s="48"/>
      <c r="K34" s="48"/>
      <c r="L34" s="48"/>
      <c r="M34" s="48"/>
      <c r="N34" s="48"/>
      <c r="O34" s="48"/>
      <c r="P34" s="48"/>
      <c r="Q34" s="48"/>
      <c r="R34" s="48"/>
      <c r="S34" s="48"/>
      <c r="T34" s="48"/>
      <c r="U34" s="48"/>
      <c r="V34" s="48"/>
      <c r="W34" s="48"/>
      <c r="X34" s="48"/>
      <c r="Y34" s="48"/>
      <c r="Z34" s="48"/>
      <c r="AA34" s="49"/>
      <c r="AB34" s="48"/>
      <c r="AC34" s="49"/>
      <c r="AD34" s="48"/>
      <c r="AE34" s="49"/>
      <c r="AF34" s="48"/>
      <c r="AG34" s="49"/>
      <c r="AH34" s="48"/>
      <c r="AI34" s="49"/>
      <c r="AJ34" s="48"/>
      <c r="AK34" s="49"/>
      <c r="AL34" s="48"/>
      <c r="AM34" s="49"/>
      <c r="AN34" s="48"/>
      <c r="AO34" s="49"/>
      <c r="AP34" s="48"/>
      <c r="AQ34" s="49"/>
      <c r="AR34" s="48"/>
      <c r="AS34" s="49"/>
      <c r="AT34" s="48"/>
      <c r="AU34" s="49"/>
      <c r="AV34" s="48"/>
      <c r="AW34" s="49"/>
      <c r="AX34" s="48"/>
      <c r="AY34" s="49"/>
      <c r="AZ34" s="48"/>
      <c r="BA34" s="49"/>
      <c r="BB34" s="48"/>
      <c r="BC34" s="49"/>
      <c r="BD34" s="48"/>
    </row>
    <row r="35" spans="2:56" ht="15" customHeight="1">
      <c r="B35" t="s">
        <v>430</v>
      </c>
      <c r="D35" s="29" t="s">
        <v>431</v>
      </c>
      <c r="E35" s="51"/>
      <c r="F35" s="48"/>
      <c r="G35" s="48"/>
      <c r="H35" s="48"/>
      <c r="I35" s="48"/>
      <c r="J35" s="48"/>
      <c r="K35" s="48"/>
      <c r="L35" s="48"/>
      <c r="M35" s="48"/>
      <c r="N35" s="48"/>
      <c r="O35" s="48"/>
      <c r="P35" s="48"/>
      <c r="Q35" s="48"/>
      <c r="R35" s="48"/>
      <c r="S35" s="48"/>
      <c r="T35" s="48"/>
      <c r="U35" s="48"/>
      <c r="V35" s="48"/>
      <c r="W35" s="48"/>
      <c r="X35" s="48"/>
      <c r="Y35" s="48"/>
      <c r="Z35" s="48"/>
      <c r="AA35" s="49"/>
      <c r="AB35" s="48"/>
      <c r="AC35" s="49"/>
      <c r="AD35" s="48"/>
      <c r="AE35" s="49"/>
      <c r="AF35" s="48"/>
      <c r="AG35" s="49"/>
      <c r="AH35" s="48"/>
      <c r="AI35" s="49"/>
      <c r="AJ35" s="48"/>
      <c r="AK35" s="49"/>
      <c r="AL35" s="48"/>
      <c r="AM35" s="49"/>
      <c r="AN35" s="48"/>
      <c r="AO35" s="49"/>
      <c r="AP35" s="48"/>
      <c r="AQ35" s="49"/>
      <c r="AR35" s="48"/>
      <c r="AS35" s="49"/>
      <c r="AT35" s="48"/>
      <c r="AU35" s="49"/>
      <c r="AV35" s="48"/>
      <c r="AW35" s="49"/>
      <c r="AX35" s="48"/>
      <c r="AY35" s="49"/>
      <c r="AZ35" s="48"/>
      <c r="BA35" s="49"/>
      <c r="BB35" s="48"/>
      <c r="BC35" s="49"/>
      <c r="BD35" s="48"/>
    </row>
    <row r="36" spans="2:56" ht="15" customHeight="1">
      <c r="D36" s="29"/>
      <c r="E36" s="51"/>
      <c r="F36" s="48"/>
      <c r="G36" s="48"/>
      <c r="H36" s="48"/>
      <c r="I36" s="48"/>
      <c r="J36" s="48"/>
      <c r="K36" s="48"/>
      <c r="L36" s="48"/>
      <c r="M36" s="48"/>
      <c r="N36" s="48"/>
      <c r="O36" s="48"/>
      <c r="P36" s="48"/>
      <c r="Q36" s="48"/>
      <c r="R36" s="48"/>
      <c r="S36" s="48"/>
      <c r="T36" s="48"/>
      <c r="U36" s="48"/>
      <c r="V36" s="48"/>
      <c r="W36" s="48"/>
      <c r="X36" s="48"/>
      <c r="Y36" s="48"/>
      <c r="Z36" s="48"/>
      <c r="AA36" s="49"/>
      <c r="AB36" s="48"/>
      <c r="AC36" s="49"/>
      <c r="AD36" s="48"/>
      <c r="AE36" s="49"/>
      <c r="AF36" s="48"/>
      <c r="AG36" s="49"/>
      <c r="AH36" s="48"/>
      <c r="AI36" s="49"/>
      <c r="AJ36" s="48"/>
      <c r="AK36" s="49"/>
      <c r="AL36" s="48"/>
      <c r="AM36" s="49"/>
      <c r="AN36" s="48"/>
      <c r="AO36" s="49"/>
      <c r="AP36" s="48"/>
      <c r="AQ36" s="49"/>
      <c r="AR36" s="48"/>
      <c r="AS36" s="49"/>
      <c r="AT36" s="48"/>
      <c r="AU36" s="49"/>
      <c r="AV36" s="48"/>
      <c r="AW36" s="49"/>
      <c r="AX36" s="48"/>
      <c r="AY36" s="49"/>
      <c r="AZ36" s="48"/>
      <c r="BA36" s="49"/>
      <c r="BB36" s="48"/>
      <c r="BC36" s="49"/>
      <c r="BD36" s="48"/>
    </row>
    <row r="37" spans="2:56" ht="15" customHeight="1">
      <c r="B37" s="463" t="s">
        <v>702</v>
      </c>
      <c r="D37" s="29"/>
      <c r="E37" s="51"/>
      <c r="F37" s="48"/>
      <c r="G37" s="48"/>
      <c r="H37" s="48"/>
      <c r="I37" s="48"/>
      <c r="J37" s="48"/>
      <c r="K37" s="48"/>
      <c r="L37" s="48"/>
      <c r="M37" s="48"/>
      <c r="N37" s="48"/>
      <c r="O37" s="48"/>
      <c r="P37" s="48"/>
      <c r="Q37" s="48"/>
      <c r="R37" s="48"/>
      <c r="S37" s="48"/>
      <c r="T37" s="48"/>
      <c r="U37" s="48"/>
      <c r="V37" s="48"/>
      <c r="W37" s="48"/>
      <c r="X37" s="48"/>
      <c r="Y37" s="48"/>
      <c r="Z37" s="48"/>
      <c r="AA37" s="49"/>
      <c r="AB37" s="48"/>
      <c r="AC37" s="49"/>
      <c r="AD37" s="48"/>
      <c r="AE37" s="49"/>
      <c r="AF37" s="48"/>
      <c r="AG37" s="49"/>
      <c r="AH37" s="48"/>
      <c r="AI37" s="49"/>
      <c r="AJ37" s="48"/>
      <c r="AK37" s="49"/>
      <c r="AL37" s="48"/>
      <c r="AM37" s="49"/>
      <c r="AN37" s="48"/>
      <c r="AO37" s="49"/>
      <c r="AP37" s="48"/>
      <c r="AQ37" s="49"/>
      <c r="AR37" s="48"/>
      <c r="AS37" s="49"/>
      <c r="AT37" s="48"/>
      <c r="AU37" s="49"/>
      <c r="AV37" s="48"/>
      <c r="AW37" s="49"/>
      <c r="AX37" s="48"/>
      <c r="AY37" s="49"/>
      <c r="AZ37" s="48"/>
      <c r="BA37" s="49"/>
      <c r="BB37" s="48"/>
      <c r="BC37" s="49"/>
      <c r="BD37" s="48"/>
    </row>
    <row r="38" spans="2:56" ht="15" customHeight="1">
      <c r="B38" t="s">
        <v>432</v>
      </c>
      <c r="D38" s="46" t="s">
        <v>433</v>
      </c>
      <c r="E38" s="51"/>
      <c r="F38" s="48"/>
      <c r="G38" s="48"/>
      <c r="H38" s="48"/>
      <c r="I38" s="48"/>
      <c r="J38" s="48"/>
      <c r="K38" s="48"/>
      <c r="L38" s="48"/>
      <c r="M38" s="48"/>
      <c r="N38" s="48"/>
      <c r="O38" s="48"/>
      <c r="P38" s="48"/>
      <c r="Q38" s="48"/>
      <c r="R38" s="48"/>
      <c r="S38" s="48"/>
      <c r="T38" s="48"/>
      <c r="U38" s="48"/>
      <c r="V38" s="48"/>
      <c r="W38" s="48"/>
      <c r="X38" s="48"/>
      <c r="Y38" s="48"/>
      <c r="Z38" s="48"/>
      <c r="AA38" s="49"/>
      <c r="AB38" s="48"/>
      <c r="AC38" s="49"/>
      <c r="AD38" s="48"/>
      <c r="AE38" s="49"/>
      <c r="AF38" s="48"/>
      <c r="AG38" s="49"/>
      <c r="AH38" s="48"/>
      <c r="AI38" s="49"/>
      <c r="AJ38" s="48"/>
      <c r="AK38" s="49"/>
      <c r="AL38" s="48"/>
      <c r="AM38" s="49"/>
      <c r="AN38" s="48"/>
      <c r="AO38" s="49"/>
      <c r="AP38" s="48"/>
      <c r="AQ38" s="49"/>
      <c r="AR38" s="48"/>
      <c r="AS38" s="49"/>
      <c r="AT38" s="48"/>
      <c r="AU38" s="49"/>
      <c r="AV38" s="48"/>
      <c r="AW38" s="49"/>
      <c r="AX38" s="48"/>
      <c r="AY38" s="49"/>
      <c r="AZ38" s="48"/>
      <c r="BA38" s="49"/>
      <c r="BB38" s="48"/>
      <c r="BC38" s="49"/>
      <c r="BD38" s="48"/>
    </row>
    <row r="39" spans="2:56" ht="15" customHeight="1">
      <c r="B39" s="51" t="s">
        <v>434</v>
      </c>
      <c r="D39" s="29" t="s">
        <v>435</v>
      </c>
      <c r="E39" s="51"/>
      <c r="F39" s="48"/>
      <c r="G39" s="48"/>
      <c r="H39" s="48"/>
      <c r="I39" s="48"/>
      <c r="J39" s="48"/>
      <c r="K39" s="48"/>
      <c r="L39" s="48"/>
      <c r="M39" s="48"/>
      <c r="N39" s="48"/>
      <c r="O39" s="48"/>
      <c r="P39" s="48"/>
      <c r="Q39" s="48"/>
      <c r="R39" s="48"/>
      <c r="S39" s="48"/>
      <c r="T39" s="48"/>
      <c r="U39" s="48"/>
      <c r="V39" s="48"/>
      <c r="W39" s="48"/>
      <c r="X39" s="48"/>
      <c r="Y39" s="48"/>
      <c r="Z39" s="48"/>
      <c r="AA39" s="49"/>
      <c r="AB39" s="48"/>
      <c r="AC39" s="49"/>
      <c r="AD39" s="48"/>
      <c r="AE39" s="49"/>
      <c r="AF39" s="48"/>
      <c r="AG39" s="49"/>
      <c r="AH39" s="48"/>
      <c r="AI39" s="49"/>
      <c r="AJ39" s="48"/>
      <c r="AK39" s="49"/>
      <c r="AL39" s="48"/>
      <c r="AM39" s="49"/>
      <c r="AN39" s="48"/>
      <c r="AO39" s="49"/>
      <c r="AP39" s="48"/>
      <c r="AQ39" s="49"/>
      <c r="AR39" s="48"/>
      <c r="AS39" s="49"/>
      <c r="AT39" s="48"/>
      <c r="AU39" s="49"/>
      <c r="AV39" s="48"/>
      <c r="AW39" s="49"/>
      <c r="AX39" s="48"/>
      <c r="AY39" s="49"/>
      <c r="AZ39" s="48"/>
      <c r="BA39" s="49"/>
      <c r="BB39" s="48"/>
      <c r="BC39" s="49"/>
      <c r="BD39" s="48"/>
    </row>
    <row r="40" spans="2:56" ht="15" customHeight="1">
      <c r="B40" s="52" t="s">
        <v>436</v>
      </c>
      <c r="D40" s="29" t="s">
        <v>437</v>
      </c>
      <c r="E40" s="51"/>
      <c r="F40" s="48"/>
      <c r="G40" s="48"/>
      <c r="H40" s="48"/>
      <c r="I40" s="48"/>
      <c r="J40" s="48"/>
      <c r="K40" s="48"/>
      <c r="L40" s="48"/>
      <c r="M40" s="48"/>
      <c r="N40" s="48"/>
      <c r="O40" s="48"/>
      <c r="P40" s="48"/>
      <c r="Q40" s="48"/>
      <c r="R40" s="48"/>
      <c r="S40" s="48"/>
      <c r="T40" s="48"/>
      <c r="U40" s="48"/>
      <c r="V40" s="48"/>
      <c r="W40" s="48"/>
      <c r="X40" s="48"/>
      <c r="Y40" s="48"/>
      <c r="Z40" s="48"/>
      <c r="AA40" s="49"/>
      <c r="AB40" s="48"/>
      <c r="AC40" s="49"/>
      <c r="AD40" s="48"/>
      <c r="AE40" s="49"/>
      <c r="AF40" s="48"/>
      <c r="AG40" s="49"/>
      <c r="AH40" s="48"/>
      <c r="AI40" s="49"/>
      <c r="AJ40" s="48"/>
      <c r="AK40" s="49"/>
      <c r="AL40" s="48"/>
      <c r="AM40" s="49"/>
      <c r="AN40" s="48"/>
      <c r="AO40" s="49"/>
      <c r="AP40" s="48"/>
      <c r="AQ40" s="49"/>
      <c r="AR40" s="48"/>
      <c r="AS40" s="49"/>
      <c r="AT40" s="48"/>
      <c r="AU40" s="49"/>
      <c r="AV40" s="48"/>
      <c r="AW40" s="49"/>
      <c r="AX40" s="48"/>
      <c r="AY40" s="49"/>
      <c r="AZ40" s="48"/>
      <c r="BA40" s="49"/>
      <c r="BB40" s="48"/>
      <c r="BC40" s="49"/>
      <c r="BD40" s="48"/>
    </row>
    <row r="41" spans="2:56" ht="15" customHeight="1">
      <c r="B41" s="52" t="s">
        <v>438</v>
      </c>
      <c r="D41" s="29" t="s">
        <v>439</v>
      </c>
      <c r="E41" s="51"/>
      <c r="F41" s="48"/>
      <c r="G41" s="48"/>
      <c r="H41" s="48"/>
      <c r="I41" s="48"/>
      <c r="J41" s="48"/>
      <c r="K41" s="48"/>
      <c r="L41" s="48"/>
      <c r="M41" s="48"/>
      <c r="N41" s="48"/>
      <c r="O41" s="48"/>
      <c r="P41" s="48"/>
      <c r="Q41" s="48"/>
      <c r="R41" s="48"/>
      <c r="S41" s="48"/>
      <c r="T41" s="48"/>
      <c r="U41" s="48"/>
      <c r="V41" s="48"/>
      <c r="W41" s="48"/>
      <c r="X41" s="48"/>
      <c r="Y41" s="48"/>
      <c r="Z41" s="48"/>
      <c r="AA41" s="49"/>
      <c r="AB41" s="48"/>
      <c r="AC41" s="49"/>
      <c r="AD41" s="48"/>
      <c r="AE41" s="49"/>
      <c r="AF41" s="48"/>
      <c r="AG41" s="49"/>
      <c r="AH41" s="48"/>
      <c r="AI41" s="49"/>
      <c r="AJ41" s="48"/>
      <c r="AK41" s="49"/>
      <c r="AL41" s="48"/>
      <c r="AM41" s="49"/>
      <c r="AN41" s="48"/>
      <c r="AO41" s="49"/>
      <c r="AP41" s="48"/>
      <c r="AQ41" s="49"/>
      <c r="AR41" s="48"/>
      <c r="AS41" s="49"/>
      <c r="AT41" s="48"/>
      <c r="AU41" s="49"/>
      <c r="AV41" s="48"/>
      <c r="AW41" s="49"/>
      <c r="AX41" s="48"/>
      <c r="AY41" s="49"/>
      <c r="AZ41" s="48"/>
      <c r="BA41" s="49"/>
      <c r="BB41" s="48"/>
      <c r="BC41" s="49"/>
      <c r="BD41" s="48"/>
    </row>
    <row r="42" spans="2:56" ht="15" customHeight="1">
      <c r="B42" s="52" t="s">
        <v>440</v>
      </c>
      <c r="D42" s="29" t="s">
        <v>441</v>
      </c>
      <c r="E42" s="51"/>
      <c r="F42" s="48"/>
      <c r="G42" s="48"/>
      <c r="H42" s="48"/>
      <c r="I42" s="48"/>
      <c r="J42" s="48"/>
      <c r="K42" s="48"/>
      <c r="L42" s="48"/>
      <c r="M42" s="48"/>
      <c r="N42" s="48"/>
      <c r="O42" s="48"/>
      <c r="P42" s="48"/>
      <c r="Q42" s="48"/>
      <c r="R42" s="48"/>
      <c r="S42" s="48"/>
      <c r="T42" s="48"/>
      <c r="U42" s="48"/>
      <c r="V42" s="48"/>
      <c r="W42" s="48"/>
      <c r="X42" s="48"/>
      <c r="Y42" s="48"/>
      <c r="Z42" s="48"/>
      <c r="AA42" s="49"/>
      <c r="AB42" s="48"/>
      <c r="AC42" s="49"/>
      <c r="AD42" s="48"/>
      <c r="AE42" s="49"/>
      <c r="AF42" s="48"/>
      <c r="AG42" s="49"/>
      <c r="AH42" s="48"/>
      <c r="AI42" s="49"/>
      <c r="AJ42" s="48"/>
      <c r="AK42" s="49"/>
      <c r="AL42" s="48"/>
      <c r="AM42" s="49"/>
      <c r="AN42" s="48"/>
      <c r="AO42" s="49"/>
      <c r="AP42" s="48"/>
      <c r="AQ42" s="49"/>
      <c r="AR42" s="48"/>
      <c r="AS42" s="49"/>
      <c r="AT42" s="48"/>
      <c r="AU42" s="49"/>
      <c r="AV42" s="48"/>
      <c r="AW42" s="49"/>
      <c r="AX42" s="48"/>
      <c r="AY42" s="49"/>
      <c r="AZ42" s="48"/>
      <c r="BA42" s="49"/>
      <c r="BB42" s="48"/>
      <c r="BC42" s="49"/>
      <c r="BD42" s="48"/>
    </row>
    <row r="43" spans="2:56" ht="15" customHeight="1">
      <c r="B43" s="52" t="s">
        <v>442</v>
      </c>
      <c r="D43" s="29" t="s">
        <v>443</v>
      </c>
      <c r="E43" s="51"/>
      <c r="F43" s="48"/>
      <c r="G43" s="48"/>
      <c r="H43" s="48"/>
      <c r="I43" s="48"/>
      <c r="J43" s="48"/>
      <c r="K43" s="48"/>
      <c r="L43" s="48"/>
      <c r="M43" s="48"/>
      <c r="N43" s="48"/>
      <c r="O43" s="48"/>
      <c r="P43" s="48"/>
      <c r="Q43" s="48"/>
      <c r="R43" s="48"/>
      <c r="S43" s="48"/>
      <c r="T43" s="48"/>
      <c r="U43" s="48"/>
      <c r="V43" s="48"/>
      <c r="W43" s="48"/>
      <c r="X43" s="48"/>
      <c r="Y43" s="48"/>
      <c r="Z43" s="48"/>
      <c r="AA43" s="49"/>
      <c r="AB43" s="48"/>
      <c r="AC43" s="49"/>
      <c r="AD43" s="48"/>
      <c r="AE43" s="49"/>
      <c r="AF43" s="48"/>
      <c r="AG43" s="49"/>
      <c r="AH43" s="48"/>
      <c r="AI43" s="49"/>
      <c r="AJ43" s="48"/>
      <c r="AK43" s="49"/>
      <c r="AL43" s="48"/>
      <c r="AM43" s="49"/>
      <c r="AN43" s="48"/>
      <c r="AO43" s="49"/>
      <c r="AP43" s="48"/>
      <c r="AQ43" s="49"/>
      <c r="AR43" s="48"/>
      <c r="AS43" s="49"/>
      <c r="AT43" s="48"/>
      <c r="AU43" s="49"/>
      <c r="AV43" s="48"/>
      <c r="AW43" s="49"/>
      <c r="AX43" s="48"/>
      <c r="AY43" s="49"/>
      <c r="AZ43" s="48"/>
      <c r="BA43" s="49"/>
      <c r="BB43" s="48"/>
      <c r="BC43" s="49"/>
      <c r="BD43" s="48"/>
    </row>
    <row r="44" spans="2:56" ht="15" customHeight="1">
      <c r="B44" s="52" t="s">
        <v>444</v>
      </c>
      <c r="D44" s="29" t="s">
        <v>445</v>
      </c>
      <c r="E44" s="51"/>
      <c r="Z44" s="48"/>
      <c r="AA44" s="49"/>
      <c r="AB44" s="48"/>
      <c r="AC44" s="49"/>
      <c r="AD44" s="48"/>
      <c r="AE44" s="49"/>
      <c r="AF44" s="48"/>
      <c r="AG44" s="49"/>
      <c r="AH44" s="48"/>
      <c r="AI44" s="49"/>
      <c r="AJ44" s="48"/>
      <c r="AK44" s="49"/>
      <c r="AL44" s="48"/>
      <c r="AM44" s="49"/>
      <c r="AN44" s="48"/>
      <c r="AO44" s="49"/>
      <c r="AP44" s="48"/>
      <c r="AQ44" s="49"/>
      <c r="AR44" s="48"/>
      <c r="AS44" s="49"/>
      <c r="AT44" s="48"/>
      <c r="AU44" s="49"/>
      <c r="AV44" s="48"/>
      <c r="AW44" s="49"/>
      <c r="AX44" s="48"/>
      <c r="AY44" s="49"/>
      <c r="AZ44" s="48"/>
      <c r="BA44" s="49"/>
      <c r="BB44" s="48"/>
      <c r="BC44" s="49"/>
      <c r="BD44" s="48"/>
    </row>
    <row r="45" spans="2:56" ht="15" customHeight="1">
      <c r="B45" s="52"/>
      <c r="D45" s="29"/>
      <c r="E45" s="51"/>
      <c r="Z45" s="48"/>
      <c r="AA45" s="49"/>
      <c r="AB45" s="48"/>
      <c r="AC45" s="49"/>
      <c r="AD45" s="48"/>
      <c r="AE45" s="49"/>
      <c r="AF45" s="48"/>
      <c r="AG45" s="49"/>
      <c r="AH45" s="48"/>
      <c r="AI45" s="49"/>
      <c r="AJ45" s="48"/>
      <c r="AK45" s="49"/>
      <c r="AL45" s="48"/>
      <c r="AM45" s="49"/>
      <c r="AN45" s="48"/>
      <c r="AO45" s="49"/>
      <c r="AP45" s="48"/>
      <c r="AQ45" s="49"/>
      <c r="AR45" s="48"/>
      <c r="AS45" s="49"/>
      <c r="AT45" s="48"/>
      <c r="AU45" s="49"/>
      <c r="AV45" s="48"/>
      <c r="AW45" s="49"/>
      <c r="AX45" s="48"/>
      <c r="AY45" s="49"/>
      <c r="AZ45" s="48"/>
      <c r="BA45" s="49"/>
      <c r="BB45" s="48"/>
      <c r="BC45" s="49"/>
      <c r="BD45" s="48"/>
    </row>
    <row r="46" spans="2:56" ht="15" customHeight="1">
      <c r="B46" t="s">
        <v>446</v>
      </c>
      <c r="D46" s="29" t="s">
        <v>447</v>
      </c>
      <c r="E46" s="51"/>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row>
    <row r="47" spans="2:56" ht="15" customHeight="1">
      <c r="B47" s="51"/>
      <c r="C47" s="29"/>
      <c r="D47" s="51"/>
      <c r="E47" s="51"/>
    </row>
    <row r="48" spans="2:56" s="28" customFormat="1" ht="15" customHeight="1">
      <c r="B48" s="50"/>
      <c r="D48" s="50"/>
      <c r="E48" s="50"/>
    </row>
    <row r="49" spans="2:32" ht="15" customHeight="1">
      <c r="B49" s="51"/>
      <c r="D49" s="51"/>
      <c r="E49" s="51"/>
    </row>
    <row r="50" spans="2:32" ht="15" customHeight="1">
      <c r="B50" s="51"/>
      <c r="D50" s="51"/>
      <c r="E50" s="51"/>
    </row>
    <row r="51" spans="2:32" ht="15" customHeight="1">
      <c r="B51" s="51"/>
      <c r="C51" s="51"/>
    </row>
    <row r="52" spans="2:32" ht="15" customHeight="1">
      <c r="B52" s="51"/>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row>
    <row r="53" spans="2:32" ht="15" customHeight="1">
      <c r="B53" s="51"/>
    </row>
    <row r="54" spans="2:32" ht="15" customHeight="1">
      <c r="B54" s="51"/>
    </row>
    <row r="55" spans="2:32" ht="15" customHeight="1">
      <c r="B55" s="51"/>
    </row>
    <row r="56" spans="2:32" ht="15" customHeight="1">
      <c r="B56" s="51"/>
    </row>
    <row r="57" spans="2:32" ht="15" customHeight="1">
      <c r="B57" s="51"/>
    </row>
    <row r="58" spans="2:32" ht="15" customHeight="1">
      <c r="B58" s="51"/>
    </row>
    <row r="59" spans="2:32" ht="15" customHeight="1">
      <c r="B59" s="51"/>
    </row>
    <row r="60" spans="2:32" ht="15" customHeight="1">
      <c r="B60" s="51"/>
    </row>
    <row r="61" spans="2:32" ht="15" customHeight="1">
      <c r="B61" s="51"/>
    </row>
    <row r="62" spans="2:32" ht="15" customHeight="1">
      <c r="B62" s="51"/>
    </row>
    <row r="63" spans="2:32" ht="15" customHeight="1">
      <c r="B63" s="51"/>
    </row>
    <row r="64" spans="2:32" ht="15" customHeight="1">
      <c r="B64" s="51"/>
    </row>
    <row r="65" spans="2:2" ht="15" customHeight="1">
      <c r="B65" s="51"/>
    </row>
    <row r="66" spans="2:2" ht="15" customHeight="1">
      <c r="B66" s="51"/>
    </row>
    <row r="67" spans="2:2" ht="15" customHeight="1">
      <c r="B67" s="51"/>
    </row>
    <row r="68" spans="2:2" ht="15" customHeight="1">
      <c r="B68" s="51"/>
    </row>
    <row r="69" spans="2:2" ht="15" customHeight="1">
      <c r="B69" s="51"/>
    </row>
    <row r="70" spans="2:2" ht="15" customHeight="1">
      <c r="B70" s="51"/>
    </row>
    <row r="71" spans="2:2" ht="15" customHeight="1">
      <c r="B71" s="51"/>
    </row>
    <row r="72" spans="2:2" ht="15" customHeight="1">
      <c r="B72" s="51"/>
    </row>
    <row r="73" spans="2:2" ht="15" customHeight="1">
      <c r="B73" s="51"/>
    </row>
    <row r="74" spans="2:2" ht="15" customHeight="1">
      <c r="B74" s="51"/>
    </row>
    <row r="75" spans="2:2" ht="15" customHeight="1">
      <c r="B75" s="51"/>
    </row>
    <row r="76" spans="2:2" ht="15" customHeight="1">
      <c r="B76" s="51"/>
    </row>
    <row r="77" spans="2:2" ht="15" customHeight="1">
      <c r="B77" s="51"/>
    </row>
    <row r="78" spans="2:2" ht="15" customHeight="1">
      <c r="B78" s="51"/>
    </row>
    <row r="79" spans="2:2" ht="15" customHeight="1">
      <c r="B79" s="51"/>
    </row>
    <row r="80" spans="2:2" ht="15" customHeight="1">
      <c r="B80" s="51"/>
    </row>
    <row r="81" spans="2:2" ht="15" customHeight="1">
      <c r="B81" s="51"/>
    </row>
  </sheetData>
  <customSheetViews>
    <customSheetView guid="{43B6AE9C-E429-4506-98F3-C388B54AB8B6}" showGridLines="0">
      <selection activeCell="D1" sqref="D1"/>
      <pageMargins left="0" right="0" top="0" bottom="0" header="0" footer="0"/>
      <pageSetup orientation="portrait" r:id="rId1"/>
    </customSheetView>
    <customSheetView guid="{D41C0D8C-591E-4B34-99B3-B45BA51A58EC}" showGridLines="0">
      <selection activeCell="D1" sqref="D1"/>
      <pageMargins left="0" right="0" top="0" bottom="0" header="0" footer="0"/>
      <pageSetup orientation="portrait" r:id="rId2"/>
    </customSheetView>
    <customSheetView guid="{8F590910-6C03-4233-9C41-6540BF2DE453}" showGridLines="0">
      <selection activeCell="D1" sqref="D1"/>
      <pageMargins left="0" right="0" top="0" bottom="0" header="0" footer="0"/>
      <pageSetup orientation="portrait" r:id="rId3"/>
    </customSheetView>
    <customSheetView guid="{55CEC4CC-9BBF-4F2D-BA17-E94F4B26FAC5}" showGridLines="0">
      <selection activeCell="D1" sqref="D1"/>
      <pageMargins left="0" right="0" top="0" bottom="0" header="0" footer="0"/>
      <pageSetup orientation="portrait" r:id="rId4"/>
    </customSheetView>
    <customSheetView guid="{7735C88E-3A13-4DCF-BB32-4D20A306A8BB}" showGridLines="0">
      <selection activeCell="D1" sqref="D1"/>
      <pageMargins left="0" right="0" top="0" bottom="0" header="0" footer="0"/>
      <pageSetup orientation="portrait" r:id="rId5"/>
    </customSheetView>
    <customSheetView guid="{27B9E3C6-8189-41E0-896B-02A30393FDC0}" showGridLines="0">
      <selection activeCell="D1" sqref="D1"/>
      <pageMargins left="0" right="0" top="0" bottom="0" header="0" footer="0"/>
      <pageSetup orientation="portrait" r:id="rId6"/>
    </customSheetView>
    <customSheetView guid="{ED9AC919-98EB-43A3-A158-23FD7D007D30}" showGridLines="0">
      <selection activeCell="D1" sqref="D1"/>
      <pageMargins left="0" right="0" top="0" bottom="0" header="0" footer="0"/>
      <pageSetup orientation="portrait" r:id="rId7"/>
    </customSheetView>
  </customSheetViews>
  <hyperlinks>
    <hyperlink ref="D30" r:id="rId8" xr:uid="{7E7CE3D0-9100-4F16-81D7-25FFFA76DF0E}"/>
    <hyperlink ref="D40" r:id="rId9" xr:uid="{66C3743A-E091-4527-A6C8-745852E550D8}"/>
    <hyperlink ref="D39" r:id="rId10" xr:uid="{825761DE-3BCB-44B1-AC2D-EABBF276D2B2}"/>
    <hyperlink ref="D38" r:id="rId11" xr:uid="{A83A02C9-BC07-4BE9-A9BA-B495E4797C16}"/>
    <hyperlink ref="D35" r:id="rId12" xr:uid="{76C00A5E-1D15-4C02-8F59-2924936BD48D}"/>
    <hyperlink ref="D34" r:id="rId13" xr:uid="{28A59B46-8EE1-4EA2-A5A2-A559C4260402}"/>
    <hyperlink ref="D42" r:id="rId14" xr:uid="{D646AD96-DF86-4B6D-9461-9AA1BD75301B}"/>
    <hyperlink ref="D46" r:id="rId15" xr:uid="{BBB63D9A-6226-44A2-AB88-BEBC237F4D69}"/>
    <hyperlink ref="D31" r:id="rId16" xr:uid="{8193AD02-BC18-4301-9BFC-C148CD552D68}"/>
    <hyperlink ref="D26" r:id="rId17" xr:uid="{8A538949-FD72-4C93-960B-CAB84CA48EA5}"/>
    <hyperlink ref="D27" r:id="rId18" xr:uid="{EF823D40-0253-4251-8482-8493E8937DB5}"/>
    <hyperlink ref="D24" r:id="rId19" xr:uid="{03E53251-7AAF-41C1-8B3C-557CE43E8995}"/>
    <hyperlink ref="D25" r:id="rId20" xr:uid="{2CC435C6-1583-4897-A233-D1C645E2567C}"/>
    <hyperlink ref="D33" r:id="rId21" xr:uid="{8123D12B-FC65-48C7-B51D-D886173EEB0C}"/>
  </hyperlinks>
  <pageMargins left="0" right="0" top="0" bottom="0" header="0" footer="0"/>
  <pageSetup orientation="portrait"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7CE75-FF2B-43E9-91B2-1B8DE2D4A3AB}">
  <sheetPr codeName="Sheet5">
    <tabColor rgb="FFC7E8FA"/>
  </sheetPr>
  <dimension ref="B2:W165"/>
  <sheetViews>
    <sheetView showGridLines="0" zoomScaleNormal="100" workbookViewId="0"/>
  </sheetViews>
  <sheetFormatPr defaultRowHeight="14.4"/>
  <cols>
    <col min="2" max="2" width="44" customWidth="1"/>
    <col min="3" max="3" width="24.5546875" customWidth="1"/>
    <col min="4" max="4" width="26.5546875" customWidth="1"/>
    <col min="5" max="5" width="24.109375" customWidth="1"/>
    <col min="6" max="6" width="25.44140625" customWidth="1"/>
    <col min="7" max="7" width="24.44140625" customWidth="1"/>
    <col min="8" max="8" width="39.5546875" customWidth="1"/>
    <col min="9" max="9" width="6.5546875" customWidth="1"/>
    <col min="10" max="10" width="25.109375" customWidth="1"/>
    <col min="11" max="11" width="24.109375" customWidth="1"/>
    <col min="12" max="12" width="26.88671875" customWidth="1"/>
    <col min="13" max="13" width="29.109375" customWidth="1"/>
    <col min="14" max="14" width="27.5546875" customWidth="1"/>
    <col min="15" max="15" width="24.5546875" customWidth="1"/>
    <col min="16" max="16" width="6.44140625" customWidth="1"/>
    <col min="17" max="17" width="24.109375" customWidth="1"/>
    <col min="18" max="18" width="25.88671875" customWidth="1"/>
    <col min="19" max="19" width="26.88671875" customWidth="1"/>
    <col min="20" max="20" width="24.109375" customWidth="1"/>
    <col min="21" max="21" width="25.109375" customWidth="1"/>
    <col min="22" max="22" width="19.5546875" customWidth="1"/>
    <col min="23" max="23" width="5.88671875" customWidth="1"/>
    <col min="24" max="24" width="13" bestFit="1" customWidth="1"/>
    <col min="25" max="25" width="12.44140625" customWidth="1"/>
    <col min="26" max="26" width="12.44140625" bestFit="1" customWidth="1"/>
    <col min="27" max="27" width="13" bestFit="1" customWidth="1"/>
    <col min="29" max="29" width="25.109375" customWidth="1"/>
    <col min="30" max="30" width="28.44140625" customWidth="1"/>
    <col min="31" max="31" width="25.5546875" customWidth="1"/>
  </cols>
  <sheetData>
    <row r="2" spans="2:23" s="166" customFormat="1">
      <c r="B2" s="166" t="s">
        <v>448</v>
      </c>
    </row>
    <row r="4" spans="2:23">
      <c r="B4" s="453" t="s">
        <v>449</v>
      </c>
    </row>
    <row r="5" spans="2:23" ht="15.6">
      <c r="B5" s="569" t="s">
        <v>920</v>
      </c>
    </row>
    <row r="6" spans="2:23">
      <c r="B6" s="493" t="s">
        <v>765</v>
      </c>
    </row>
    <row r="7" spans="2:23" ht="15.6">
      <c r="B7" s="453" t="s">
        <v>450</v>
      </c>
    </row>
    <row r="8" spans="2:23" ht="15.6">
      <c r="B8" s="453" t="s">
        <v>451</v>
      </c>
    </row>
    <row r="9" spans="2:23" ht="15.6">
      <c r="B9" s="453" t="s">
        <v>452</v>
      </c>
    </row>
    <row r="10" spans="2:23" ht="15.6">
      <c r="B10" s="453" t="s">
        <v>453</v>
      </c>
    </row>
    <row r="11" spans="2:23">
      <c r="C11" s="276"/>
      <c r="D11" s="276"/>
    </row>
    <row r="13" spans="2:23" ht="14.4" customHeight="1">
      <c r="B13" s="274"/>
      <c r="C13" s="275"/>
      <c r="D13" s="614" t="s">
        <v>454</v>
      </c>
      <c r="E13" s="615"/>
      <c r="F13" s="615"/>
      <c r="G13" s="615"/>
      <c r="H13" s="616"/>
    </row>
    <row r="14" spans="2:23" ht="28.65" customHeight="1">
      <c r="B14" s="292" t="s">
        <v>455</v>
      </c>
      <c r="C14" s="292" t="s">
        <v>456</v>
      </c>
      <c r="D14" s="355" t="s">
        <v>457</v>
      </c>
      <c r="E14" s="179" t="s">
        <v>458</v>
      </c>
      <c r="F14" s="179" t="s">
        <v>459</v>
      </c>
      <c r="G14" s="178" t="s">
        <v>460</v>
      </c>
      <c r="H14" s="291" t="s">
        <v>461</v>
      </c>
      <c r="I14" s="84"/>
      <c r="P14" s="84" t="s">
        <v>462</v>
      </c>
      <c r="W14" s="84" t="s">
        <v>462</v>
      </c>
    </row>
    <row r="15" spans="2:23" ht="15.6">
      <c r="B15" s="31" t="s">
        <v>772</v>
      </c>
      <c r="C15" s="31" t="s">
        <v>463</v>
      </c>
      <c r="D15" s="169">
        <v>8.5903730657021722</v>
      </c>
      <c r="E15" s="296">
        <v>8.5903730657021722</v>
      </c>
      <c r="F15" s="296">
        <v>5.0346434021048267</v>
      </c>
      <c r="G15" s="296">
        <v>22.190698164686331</v>
      </c>
      <c r="H15" s="170" t="s">
        <v>766</v>
      </c>
      <c r="I15" s="84"/>
      <c r="P15" s="84" t="s">
        <v>462</v>
      </c>
      <c r="W15" s="84" t="s">
        <v>462</v>
      </c>
    </row>
    <row r="16" spans="2:23" ht="15.6">
      <c r="B16" s="31" t="s">
        <v>773</v>
      </c>
      <c r="C16" s="31" t="s">
        <v>463</v>
      </c>
      <c r="D16" s="169">
        <v>8.0447656935511098</v>
      </c>
      <c r="E16" s="296">
        <v>8.0447656935511098</v>
      </c>
      <c r="F16" s="296">
        <v>4.6508308130798186</v>
      </c>
      <c r="G16" s="296">
        <v>23.289368038801129</v>
      </c>
      <c r="H16" s="170" t="s">
        <v>766</v>
      </c>
      <c r="I16" s="84"/>
      <c r="P16" s="84" t="s">
        <v>462</v>
      </c>
      <c r="W16" s="84" t="s">
        <v>462</v>
      </c>
    </row>
    <row r="17" spans="2:23" ht="15.6">
      <c r="B17" s="31" t="s">
        <v>774</v>
      </c>
      <c r="C17" s="31" t="s">
        <v>463</v>
      </c>
      <c r="D17" s="277" t="s">
        <v>465</v>
      </c>
      <c r="E17" s="296" t="s">
        <v>464</v>
      </c>
      <c r="F17" s="296" t="s">
        <v>464</v>
      </c>
      <c r="G17" s="296" t="s">
        <v>464</v>
      </c>
      <c r="H17" s="170" t="s">
        <v>697</v>
      </c>
      <c r="I17" s="84"/>
      <c r="P17" s="84"/>
      <c r="W17" s="84"/>
    </row>
    <row r="18" spans="2:23" ht="15.6">
      <c r="B18" s="31" t="s">
        <v>769</v>
      </c>
      <c r="C18" s="31" t="s">
        <v>463</v>
      </c>
      <c r="D18" s="277" t="s">
        <v>465</v>
      </c>
      <c r="E18" s="296">
        <v>3.8099817888762164</v>
      </c>
      <c r="F18" s="296">
        <v>-44.246727317731356</v>
      </c>
      <c r="G18" s="296">
        <v>30.253166044194977</v>
      </c>
      <c r="H18" s="170" t="s">
        <v>466</v>
      </c>
      <c r="I18" s="84"/>
      <c r="P18" s="84" t="s">
        <v>462</v>
      </c>
      <c r="W18" s="84" t="s">
        <v>462</v>
      </c>
    </row>
    <row r="19" spans="2:23" ht="15.6">
      <c r="B19" s="31" t="s">
        <v>770</v>
      </c>
      <c r="C19" s="31" t="s">
        <v>463</v>
      </c>
      <c r="D19" s="169">
        <v>5.4523523238837797</v>
      </c>
      <c r="E19" s="296">
        <v>3.5679580621678713</v>
      </c>
      <c r="F19" s="296">
        <v>-39.376331267084169</v>
      </c>
      <c r="G19" s="296">
        <v>31.750680317584393</v>
      </c>
      <c r="H19" s="170" t="s">
        <v>466</v>
      </c>
      <c r="I19" s="84"/>
      <c r="P19" s="84" t="s">
        <v>462</v>
      </c>
      <c r="W19" s="84" t="s">
        <v>462</v>
      </c>
    </row>
    <row r="20" spans="2:23" ht="15.6">
      <c r="B20" s="31" t="s">
        <v>771</v>
      </c>
      <c r="C20" s="31" t="s">
        <v>463</v>
      </c>
      <c r="D20" s="169">
        <v>7.9601199999999999</v>
      </c>
      <c r="E20" s="296">
        <v>5.6858351564279141</v>
      </c>
      <c r="F20" s="296">
        <v>4.9932370780899804</v>
      </c>
      <c r="G20" s="296">
        <v>8.8839586055978401</v>
      </c>
      <c r="H20" s="170" t="s">
        <v>467</v>
      </c>
      <c r="I20" s="84"/>
      <c r="P20" s="84" t="s">
        <v>462</v>
      </c>
      <c r="W20" s="84" t="s">
        <v>462</v>
      </c>
    </row>
    <row r="21" spans="2:23" ht="15.6">
      <c r="B21" s="31" t="s">
        <v>767</v>
      </c>
      <c r="C21" s="31" t="s">
        <v>463</v>
      </c>
      <c r="D21" s="169">
        <v>4.5415679289256676</v>
      </c>
      <c r="E21" s="296">
        <v>2.700954107233017</v>
      </c>
      <c r="F21" s="296">
        <v>2.6974796716139617</v>
      </c>
      <c r="G21" s="296">
        <v>3.1533174624406035</v>
      </c>
      <c r="H21" s="170" t="s">
        <v>468</v>
      </c>
      <c r="I21" s="84"/>
      <c r="P21" s="84" t="s">
        <v>462</v>
      </c>
      <c r="W21" s="84" t="s">
        <v>462</v>
      </c>
    </row>
    <row r="22" spans="2:23" ht="15.6">
      <c r="B22" s="31" t="s">
        <v>768</v>
      </c>
      <c r="C22" s="31" t="s">
        <v>463</v>
      </c>
      <c r="D22" s="169">
        <v>4.5415679289256676</v>
      </c>
      <c r="E22" s="296">
        <v>2.700954107233017</v>
      </c>
      <c r="F22" s="296">
        <v>2.6974796716139617</v>
      </c>
      <c r="G22" s="296">
        <v>3.1533174624406035</v>
      </c>
      <c r="H22" s="170" t="s">
        <v>468</v>
      </c>
      <c r="I22" s="84"/>
      <c r="P22" s="84" t="s">
        <v>462</v>
      </c>
      <c r="W22" s="84" t="s">
        <v>462</v>
      </c>
    </row>
    <row r="23" spans="2:23" ht="15.6">
      <c r="B23" s="31" t="s">
        <v>775</v>
      </c>
      <c r="C23" s="31" t="s">
        <v>463</v>
      </c>
      <c r="D23" s="169">
        <v>0</v>
      </c>
      <c r="E23" s="296">
        <v>0</v>
      </c>
      <c r="F23" s="296">
        <v>0</v>
      </c>
      <c r="G23" s="296">
        <v>0</v>
      </c>
      <c r="H23" s="170" t="s">
        <v>469</v>
      </c>
      <c r="I23" s="84"/>
      <c r="P23" s="84" t="s">
        <v>462</v>
      </c>
      <c r="W23" s="84" t="s">
        <v>462</v>
      </c>
    </row>
    <row r="24" spans="2:23" ht="15.6">
      <c r="B24" s="31" t="s">
        <v>941</v>
      </c>
      <c r="C24" s="31" t="s">
        <v>463</v>
      </c>
      <c r="D24" s="169">
        <v>0</v>
      </c>
      <c r="E24" s="296">
        <v>0</v>
      </c>
      <c r="F24" s="296">
        <v>0</v>
      </c>
      <c r="G24" s="296">
        <v>0</v>
      </c>
      <c r="H24" s="170" t="s">
        <v>955</v>
      </c>
      <c r="I24" s="84"/>
      <c r="P24" s="84" t="s">
        <v>462</v>
      </c>
      <c r="W24" s="84" t="s">
        <v>462</v>
      </c>
    </row>
    <row r="25" spans="2:23" ht="15.6">
      <c r="B25" s="31" t="s">
        <v>470</v>
      </c>
      <c r="C25" s="31" t="s">
        <v>463</v>
      </c>
      <c r="D25" s="169">
        <v>0</v>
      </c>
      <c r="E25" s="296">
        <v>0</v>
      </c>
      <c r="F25" s="296">
        <v>0</v>
      </c>
      <c r="G25" s="296">
        <v>0</v>
      </c>
      <c r="H25" s="170" t="s">
        <v>471</v>
      </c>
      <c r="I25" s="84"/>
      <c r="P25" s="84" t="s">
        <v>462</v>
      </c>
      <c r="W25" s="84" t="s">
        <v>462</v>
      </c>
    </row>
    <row r="26" spans="2:23">
      <c r="D26" s="142"/>
      <c r="E26" s="121"/>
    </row>
    <row r="27" spans="2:23">
      <c r="D27" s="142"/>
      <c r="E27" s="121"/>
    </row>
    <row r="28" spans="2:23" ht="14.4" customHeight="1">
      <c r="B28" s="274"/>
      <c r="C28" s="275"/>
      <c r="D28" s="614" t="s">
        <v>472</v>
      </c>
      <c r="E28" s="615"/>
      <c r="F28" s="615"/>
      <c r="G28" s="615"/>
      <c r="H28" s="616"/>
    </row>
    <row r="29" spans="2:23" ht="28.65" customHeight="1">
      <c r="B29" s="292" t="s">
        <v>455</v>
      </c>
      <c r="C29" s="292" t="s">
        <v>456</v>
      </c>
      <c r="D29" s="355" t="s">
        <v>457</v>
      </c>
      <c r="E29" s="179" t="s">
        <v>458</v>
      </c>
      <c r="F29" s="179" t="s">
        <v>459</v>
      </c>
      <c r="G29" s="178" t="s">
        <v>460</v>
      </c>
      <c r="H29" s="291" t="s">
        <v>461</v>
      </c>
    </row>
    <row r="30" spans="2:23" ht="15.6">
      <c r="B30" s="31" t="s">
        <v>772</v>
      </c>
      <c r="C30" s="31" t="s">
        <v>463</v>
      </c>
      <c r="D30" s="169">
        <v>0.79</v>
      </c>
      <c r="E30" s="296">
        <v>0.56743612829439016</v>
      </c>
      <c r="F30" s="296">
        <v>0.50129151865447108</v>
      </c>
      <c r="G30" s="296">
        <v>1.2654312827165783</v>
      </c>
      <c r="H30" s="170" t="s">
        <v>717</v>
      </c>
    </row>
    <row r="31" spans="2:23" ht="15.6">
      <c r="B31" s="31" t="s">
        <v>773</v>
      </c>
      <c r="C31" s="31" t="s">
        <v>463</v>
      </c>
      <c r="D31" s="169">
        <v>4.05</v>
      </c>
      <c r="E31" s="296">
        <v>2.8941044742080821</v>
      </c>
      <c r="F31" s="296">
        <v>2.1386199322503523</v>
      </c>
      <c r="G31" s="296">
        <v>1.6485125472022426</v>
      </c>
      <c r="H31" s="170" t="s">
        <v>717</v>
      </c>
    </row>
    <row r="32" spans="2:23" ht="15.6">
      <c r="B32" s="31" t="s">
        <v>774</v>
      </c>
      <c r="C32" s="31" t="s">
        <v>463</v>
      </c>
      <c r="D32" s="277" t="s">
        <v>465</v>
      </c>
      <c r="E32" s="296" t="s">
        <v>464</v>
      </c>
      <c r="F32" s="296" t="s">
        <v>464</v>
      </c>
      <c r="G32" s="296" t="s">
        <v>464</v>
      </c>
      <c r="H32" s="170" t="s">
        <v>697</v>
      </c>
    </row>
    <row r="33" spans="2:11" ht="15.6">
      <c r="B33" s="31" t="s">
        <v>769</v>
      </c>
      <c r="C33" s="31" t="s">
        <v>463</v>
      </c>
      <c r="D33" s="566">
        <f>D30</f>
        <v>0.79</v>
      </c>
      <c r="E33" s="296">
        <v>0.56580610621081706</v>
      </c>
      <c r="F33" s="296">
        <v>0.50129151865447108</v>
      </c>
      <c r="G33" s="296">
        <v>1.2452324900214045</v>
      </c>
      <c r="H33" s="171" t="s">
        <v>473</v>
      </c>
    </row>
    <row r="34" spans="2:11" ht="15.6">
      <c r="B34" s="31" t="s">
        <v>770</v>
      </c>
      <c r="C34" s="31" t="s">
        <v>463</v>
      </c>
      <c r="D34" s="169">
        <v>4.05</v>
      </c>
      <c r="E34" s="296">
        <v>2.8923951072901546</v>
      </c>
      <c r="F34" s="296">
        <v>2.1386174732788481</v>
      </c>
      <c r="G34" s="296">
        <v>1.618395132614868</v>
      </c>
      <c r="H34" s="170" t="s">
        <v>474</v>
      </c>
    </row>
    <row r="35" spans="2:11" ht="15.6">
      <c r="B35" s="31" t="s">
        <v>771</v>
      </c>
      <c r="C35" s="31" t="s">
        <v>463</v>
      </c>
      <c r="D35" s="169">
        <v>0.23</v>
      </c>
      <c r="E35" s="296">
        <v>0.16553832259311443</v>
      </c>
      <c r="F35" s="296">
        <v>0</v>
      </c>
      <c r="G35" s="296">
        <v>2.5180766237788008</v>
      </c>
      <c r="H35" s="170"/>
    </row>
    <row r="36" spans="2:11" ht="15.6">
      <c r="B36" s="31" t="s">
        <v>767</v>
      </c>
      <c r="C36" s="31" t="s">
        <v>463</v>
      </c>
      <c r="D36" s="169">
        <v>8.3800000000000008</v>
      </c>
      <c r="E36" s="296">
        <v>5.9841961999840834</v>
      </c>
      <c r="F36" s="296">
        <v>5.8722945875546309</v>
      </c>
      <c r="G36" s="296">
        <v>7.5090108452941289</v>
      </c>
      <c r="H36" s="170"/>
    </row>
    <row r="37" spans="2:11" ht="15.6">
      <c r="B37" s="31" t="s">
        <v>768</v>
      </c>
      <c r="C37" s="31" t="s">
        <v>463</v>
      </c>
      <c r="D37" s="169">
        <v>8.3800000000000008</v>
      </c>
      <c r="E37" s="296">
        <v>5.9841961999840834</v>
      </c>
      <c r="F37" s="296">
        <v>5.8722945875546309</v>
      </c>
      <c r="G37" s="296">
        <v>7.5090108452941289</v>
      </c>
      <c r="H37" s="172"/>
    </row>
    <row r="38" spans="2:11" ht="15.6">
      <c r="B38" s="31" t="s">
        <v>775</v>
      </c>
      <c r="C38" s="31" t="s">
        <v>463</v>
      </c>
      <c r="D38" s="169" t="str">
        <f>IFERROR((INDEX(Assumptions!$F$5:$AJ$5,1,MATCH(Initial_questions!$E$24,Assumptions!$F$4:$AJ$4,0))*1000/Conversion_kWh_to_MJ)/65.01%, "Year yet to be input")</f>
        <v>Year yet to be input</v>
      </c>
      <c r="E38" s="459">
        <v>51.309701836349511</v>
      </c>
      <c r="F38" s="296">
        <v>49.297876511340306</v>
      </c>
      <c r="G38" s="296">
        <v>64.386566448909321</v>
      </c>
      <c r="H38" s="172" t="s">
        <v>919</v>
      </c>
    </row>
    <row r="39" spans="2:11" ht="15.6">
      <c r="B39" s="31" t="s">
        <v>941</v>
      </c>
      <c r="C39" s="31" t="s">
        <v>463</v>
      </c>
      <c r="D39" s="169">
        <v>0</v>
      </c>
      <c r="E39" s="296">
        <v>0</v>
      </c>
      <c r="F39" s="296">
        <v>0</v>
      </c>
      <c r="G39" s="296">
        <v>0</v>
      </c>
      <c r="H39" s="172"/>
      <c r="K39" s="458"/>
    </row>
    <row r="40" spans="2:11" ht="15.6">
      <c r="B40" s="31" t="s">
        <v>470</v>
      </c>
      <c r="C40" s="31" t="s">
        <v>463</v>
      </c>
      <c r="D40" s="169">
        <v>8.59</v>
      </c>
      <c r="E40" s="296">
        <v>6.1327004083423775</v>
      </c>
      <c r="F40" s="296">
        <v>1.3084581201119097</v>
      </c>
      <c r="G40" s="296">
        <v>8.0372041418999984</v>
      </c>
      <c r="H40" s="172" t="s">
        <v>696</v>
      </c>
    </row>
    <row r="41" spans="2:11">
      <c r="D41" s="142"/>
      <c r="E41" s="121"/>
    </row>
    <row r="42" spans="2:11">
      <c r="D42" s="142"/>
      <c r="E42" s="121"/>
    </row>
    <row r="43" spans="2:11" ht="14.4" customHeight="1">
      <c r="B43" s="274"/>
      <c r="C43" s="275"/>
      <c r="D43" s="614" t="s">
        <v>475</v>
      </c>
      <c r="E43" s="615"/>
      <c r="F43" s="615"/>
      <c r="G43" s="615"/>
      <c r="H43" s="616"/>
    </row>
    <row r="44" spans="2:11" ht="28.65" customHeight="1">
      <c r="B44" s="292" t="s">
        <v>455</v>
      </c>
      <c r="C44" s="292" t="s">
        <v>456</v>
      </c>
      <c r="D44" s="355" t="s">
        <v>457</v>
      </c>
      <c r="E44" s="179" t="s">
        <v>458</v>
      </c>
      <c r="F44" s="179" t="s">
        <v>459</v>
      </c>
      <c r="G44" s="178" t="s">
        <v>460</v>
      </c>
      <c r="H44" s="291" t="s">
        <v>461</v>
      </c>
    </row>
    <row r="45" spans="2:11" ht="15.6">
      <c r="B45" s="31" t="s">
        <v>772</v>
      </c>
      <c r="C45" s="31" t="s">
        <v>463</v>
      </c>
      <c r="D45" s="169">
        <v>0</v>
      </c>
      <c r="E45" s="296">
        <v>0</v>
      </c>
      <c r="F45" s="296">
        <v>0</v>
      </c>
      <c r="G45" s="296">
        <v>0</v>
      </c>
      <c r="H45" s="171"/>
    </row>
    <row r="46" spans="2:11" ht="15.6">
      <c r="B46" s="31" t="s">
        <v>773</v>
      </c>
      <c r="C46" s="31" t="s">
        <v>463</v>
      </c>
      <c r="D46" s="169">
        <v>0</v>
      </c>
      <c r="E46" s="296">
        <v>0</v>
      </c>
      <c r="F46" s="296">
        <v>0</v>
      </c>
      <c r="G46" s="296">
        <v>0</v>
      </c>
      <c r="H46" s="171"/>
    </row>
    <row r="47" spans="2:11" ht="15.6">
      <c r="B47" s="31" t="s">
        <v>774</v>
      </c>
      <c r="C47" s="31" t="s">
        <v>463</v>
      </c>
      <c r="D47" s="277" t="s">
        <v>465</v>
      </c>
      <c r="E47" s="296" t="s">
        <v>464</v>
      </c>
      <c r="F47" s="296" t="s">
        <v>464</v>
      </c>
      <c r="G47" s="296" t="s">
        <v>464</v>
      </c>
      <c r="H47" s="170" t="s">
        <v>697</v>
      </c>
    </row>
    <row r="48" spans="2:11" ht="15.6">
      <c r="B48" s="31" t="s">
        <v>769</v>
      </c>
      <c r="C48" s="31" t="s">
        <v>463</v>
      </c>
      <c r="D48" s="566">
        <f>D45</f>
        <v>0</v>
      </c>
      <c r="E48" s="296">
        <v>0</v>
      </c>
      <c r="F48" s="296">
        <v>0</v>
      </c>
      <c r="G48" s="296">
        <v>0</v>
      </c>
      <c r="H48" s="171"/>
    </row>
    <row r="49" spans="2:8" ht="15.6">
      <c r="B49" s="31" t="s">
        <v>770</v>
      </c>
      <c r="C49" s="31" t="s">
        <v>463</v>
      </c>
      <c r="D49" s="169">
        <v>0</v>
      </c>
      <c r="E49" s="296">
        <v>0</v>
      </c>
      <c r="F49" s="296">
        <v>0</v>
      </c>
      <c r="G49" s="296">
        <v>0</v>
      </c>
      <c r="H49" s="170"/>
    </row>
    <row r="50" spans="2:8" ht="15.6">
      <c r="B50" s="31" t="s">
        <v>771</v>
      </c>
      <c r="C50" s="31" t="s">
        <v>463</v>
      </c>
      <c r="D50" s="169">
        <v>1.56</v>
      </c>
      <c r="E50" s="296">
        <v>1.1175925925925927</v>
      </c>
      <c r="F50" s="296">
        <v>1.1175925925925927</v>
      </c>
      <c r="G50" s="296">
        <v>1.1175925925925927</v>
      </c>
      <c r="H50" s="170" t="s">
        <v>476</v>
      </c>
    </row>
    <row r="51" spans="2:8" ht="15.6">
      <c r="B51" s="31" t="s">
        <v>767</v>
      </c>
      <c r="C51" s="31" t="s">
        <v>463</v>
      </c>
      <c r="D51" s="169">
        <v>3.2810854665053957</v>
      </c>
      <c r="E51" s="296">
        <v>2.3436324760752827</v>
      </c>
      <c r="F51" s="296">
        <v>1.9349525149143858</v>
      </c>
      <c r="G51" s="296">
        <v>3.8421256669985704</v>
      </c>
      <c r="H51" s="170" t="s">
        <v>477</v>
      </c>
    </row>
    <row r="52" spans="2:8" ht="15.6">
      <c r="B52" s="31" t="s">
        <v>768</v>
      </c>
      <c r="C52" s="31" t="s">
        <v>463</v>
      </c>
      <c r="D52" s="169">
        <v>3.2810854665053957</v>
      </c>
      <c r="E52" s="296">
        <v>2.3436324760752827</v>
      </c>
      <c r="F52" s="296">
        <v>1.9349525149143858</v>
      </c>
      <c r="G52" s="296">
        <v>3.8421256669985704</v>
      </c>
      <c r="H52" s="170" t="s">
        <v>477</v>
      </c>
    </row>
    <row r="53" spans="2:8" ht="15.6">
      <c r="B53" s="31" t="s">
        <v>775</v>
      </c>
      <c r="C53" s="31" t="s">
        <v>463</v>
      </c>
      <c r="D53" s="169">
        <v>0.15</v>
      </c>
      <c r="E53" s="296">
        <v>0.1051</v>
      </c>
      <c r="F53" s="296">
        <v>9.2847027027027018E-2</v>
      </c>
      <c r="G53" s="296">
        <v>0.10511531531531532</v>
      </c>
      <c r="H53" s="170" t="s">
        <v>478</v>
      </c>
    </row>
    <row r="54" spans="2:8" ht="15.6">
      <c r="B54" s="31" t="s">
        <v>941</v>
      </c>
      <c r="C54" s="31" t="s">
        <v>463</v>
      </c>
      <c r="D54" s="169">
        <v>0.15</v>
      </c>
      <c r="E54" s="296">
        <v>0.1051</v>
      </c>
      <c r="F54" s="296">
        <v>9.2847027027027018E-2</v>
      </c>
      <c r="G54" s="296">
        <v>0.10511531531531532</v>
      </c>
      <c r="H54" s="170" t="s">
        <v>478</v>
      </c>
    </row>
    <row r="55" spans="2:8" ht="15.6">
      <c r="B55" s="31" t="s">
        <v>470</v>
      </c>
      <c r="C55" s="31" t="s">
        <v>463</v>
      </c>
      <c r="D55" s="169">
        <v>0.15</v>
      </c>
      <c r="E55" s="296">
        <v>0.1051</v>
      </c>
      <c r="F55" s="296">
        <v>9.2847027027027018E-2</v>
      </c>
      <c r="G55" s="296">
        <v>0.10511531531531532</v>
      </c>
      <c r="H55" s="170" t="s">
        <v>478</v>
      </c>
    </row>
    <row r="56" spans="2:8">
      <c r="D56" s="142"/>
      <c r="E56" s="121"/>
    </row>
    <row r="57" spans="2:8">
      <c r="D57" s="142"/>
      <c r="E57" s="121"/>
    </row>
    <row r="58" spans="2:8">
      <c r="B58" s="274"/>
      <c r="C58" s="275"/>
      <c r="D58" s="617" t="s">
        <v>479</v>
      </c>
      <c r="E58" s="618"/>
      <c r="F58" s="618"/>
      <c r="G58" s="618"/>
      <c r="H58" s="619"/>
    </row>
    <row r="59" spans="2:8" ht="28.65" customHeight="1">
      <c r="B59" s="292" t="s">
        <v>455</v>
      </c>
      <c r="C59" s="292" t="s">
        <v>456</v>
      </c>
      <c r="D59" s="290" t="s">
        <v>457</v>
      </c>
      <c r="E59" s="179" t="s">
        <v>458</v>
      </c>
      <c r="F59" s="179" t="s">
        <v>459</v>
      </c>
      <c r="G59" s="178" t="s">
        <v>460</v>
      </c>
      <c r="H59" s="291" t="s">
        <v>461</v>
      </c>
    </row>
    <row r="60" spans="2:8" ht="15.6">
      <c r="B60" s="31" t="s">
        <v>772</v>
      </c>
      <c r="C60" s="31" t="s">
        <v>463</v>
      </c>
      <c r="D60" s="277" t="s">
        <v>465</v>
      </c>
      <c r="E60" s="296">
        <v>77.535791666666668</v>
      </c>
      <c r="F60" s="296">
        <v>76.002116666666666</v>
      </c>
      <c r="G60" s="296">
        <v>79.069466666666656</v>
      </c>
      <c r="H60" s="31"/>
    </row>
    <row r="61" spans="2:8" ht="15.6">
      <c r="B61" s="31" t="s">
        <v>773</v>
      </c>
      <c r="C61" s="31" t="s">
        <v>463</v>
      </c>
      <c r="D61" s="277" t="s">
        <v>465</v>
      </c>
      <c r="E61" s="296">
        <v>72.611197680428134</v>
      </c>
      <c r="F61" s="296">
        <v>67.636997003907595</v>
      </c>
      <c r="G61" s="296">
        <v>82.984225920489294</v>
      </c>
      <c r="H61" s="31"/>
    </row>
    <row r="62" spans="2:8" ht="15.6">
      <c r="B62" s="31" t="s">
        <v>774</v>
      </c>
      <c r="C62" s="31" t="s">
        <v>463</v>
      </c>
      <c r="D62" s="169" t="str">
        <f>D60</f>
        <v>Use projected</v>
      </c>
      <c r="E62" s="296" t="s">
        <v>464</v>
      </c>
      <c r="F62" s="296" t="s">
        <v>464</v>
      </c>
      <c r="G62" s="296" t="s">
        <v>464</v>
      </c>
      <c r="H62" s="170"/>
    </row>
    <row r="63" spans="2:8" ht="15.6">
      <c r="B63" s="31" t="s">
        <v>769</v>
      </c>
      <c r="C63" s="31" t="s">
        <v>463</v>
      </c>
      <c r="D63" s="277" t="s">
        <v>465</v>
      </c>
      <c r="E63" s="296">
        <v>0</v>
      </c>
      <c r="F63" s="296">
        <v>0</v>
      </c>
      <c r="G63" s="296">
        <v>0</v>
      </c>
      <c r="H63" s="31"/>
    </row>
    <row r="64" spans="2:8" ht="15.6">
      <c r="B64" s="31" t="s">
        <v>770</v>
      </c>
      <c r="C64" s="31" t="s">
        <v>463</v>
      </c>
      <c r="D64" s="277" t="s">
        <v>465</v>
      </c>
      <c r="E64" s="296">
        <v>0</v>
      </c>
      <c r="F64" s="296">
        <v>0</v>
      </c>
      <c r="G64" s="296">
        <v>0</v>
      </c>
      <c r="H64" s="31"/>
    </row>
    <row r="65" spans="2:8" ht="15.6">
      <c r="B65" s="31" t="s">
        <v>771</v>
      </c>
      <c r="C65" s="31" t="s">
        <v>463</v>
      </c>
      <c r="D65" s="277" t="s">
        <v>465</v>
      </c>
      <c r="E65" s="296">
        <v>0</v>
      </c>
      <c r="F65" s="296">
        <v>0</v>
      </c>
      <c r="G65" s="296">
        <v>0</v>
      </c>
      <c r="H65" s="31"/>
    </row>
    <row r="66" spans="2:8" ht="15.6">
      <c r="B66" s="31" t="s">
        <v>767</v>
      </c>
      <c r="C66" s="31" t="s">
        <v>463</v>
      </c>
      <c r="D66" s="277" t="s">
        <v>465</v>
      </c>
      <c r="E66" s="296">
        <v>0</v>
      </c>
      <c r="F66" s="296">
        <v>0</v>
      </c>
      <c r="G66" s="296">
        <v>0</v>
      </c>
      <c r="H66" s="31" t="s">
        <v>756</v>
      </c>
    </row>
    <row r="67" spans="2:8" ht="15.6">
      <c r="B67" s="31" t="s">
        <v>768</v>
      </c>
      <c r="C67" s="31" t="s">
        <v>463</v>
      </c>
      <c r="D67" s="277" t="s">
        <v>465</v>
      </c>
      <c r="E67" s="296">
        <f>127.675438596491</f>
        <v>127.67543859649101</v>
      </c>
      <c r="F67" s="296">
        <f t="shared" ref="F67:G67" si="0">127.675438596491</f>
        <v>127.67543859649101</v>
      </c>
      <c r="G67" s="296">
        <f t="shared" si="0"/>
        <v>127.67543859649101</v>
      </c>
      <c r="H67" s="31" t="s">
        <v>757</v>
      </c>
    </row>
    <row r="68" spans="2:8" ht="15.6">
      <c r="B68" s="31" t="s">
        <v>775</v>
      </c>
      <c r="C68" s="31" t="s">
        <v>463</v>
      </c>
      <c r="D68" s="277" t="s">
        <v>465</v>
      </c>
      <c r="E68" s="296">
        <v>0</v>
      </c>
      <c r="F68" s="296">
        <v>0</v>
      </c>
      <c r="G68" s="296">
        <v>0</v>
      </c>
      <c r="H68" s="31"/>
    </row>
    <row r="69" spans="2:8" ht="15.6">
      <c r="B69" s="31" t="s">
        <v>941</v>
      </c>
      <c r="C69" s="31" t="s">
        <v>463</v>
      </c>
      <c r="D69" s="277" t="s">
        <v>465</v>
      </c>
      <c r="E69" s="296">
        <v>0</v>
      </c>
      <c r="F69" s="296">
        <v>0</v>
      </c>
      <c r="G69" s="296">
        <v>0</v>
      </c>
      <c r="H69" s="31"/>
    </row>
    <row r="70" spans="2:8" ht="15.6">
      <c r="B70" s="31" t="s">
        <v>470</v>
      </c>
      <c r="C70" s="31" t="s">
        <v>463</v>
      </c>
      <c r="D70" s="277" t="s">
        <v>465</v>
      </c>
      <c r="E70" s="296">
        <v>0</v>
      </c>
      <c r="F70" s="296">
        <v>0</v>
      </c>
      <c r="G70" s="296">
        <v>0</v>
      </c>
      <c r="H70" s="31"/>
    </row>
    <row r="71" spans="2:8">
      <c r="E71" s="121"/>
    </row>
    <row r="72" spans="2:8">
      <c r="D72" s="142"/>
      <c r="E72" s="121"/>
    </row>
    <row r="73" spans="2:8" ht="14.4" customHeight="1">
      <c r="B73" s="274"/>
      <c r="C73" s="275"/>
      <c r="D73" s="614" t="s">
        <v>480</v>
      </c>
      <c r="E73" s="615"/>
      <c r="F73" s="615"/>
      <c r="G73" s="615"/>
      <c r="H73" s="616"/>
    </row>
    <row r="74" spans="2:8" ht="28.65" customHeight="1">
      <c r="B74" s="292" t="s">
        <v>455</v>
      </c>
      <c r="C74" s="292" t="s">
        <v>456</v>
      </c>
      <c r="D74" s="290" t="s">
        <v>457</v>
      </c>
      <c r="E74" s="179" t="s">
        <v>458</v>
      </c>
      <c r="F74" s="179" t="s">
        <v>459</v>
      </c>
      <c r="G74" s="178" t="s">
        <v>460</v>
      </c>
      <c r="H74" s="291" t="s">
        <v>461</v>
      </c>
    </row>
    <row r="75" spans="2:8" ht="15.6">
      <c r="B75" s="31" t="s">
        <v>772</v>
      </c>
      <c r="C75" s="31" t="s">
        <v>463</v>
      </c>
      <c r="D75" s="277" t="s">
        <v>465</v>
      </c>
      <c r="E75" s="297" t="s">
        <v>481</v>
      </c>
      <c r="F75" s="297" t="s">
        <v>481</v>
      </c>
      <c r="G75" s="297" t="s">
        <v>481</v>
      </c>
      <c r="H75" s="31" t="s">
        <v>482</v>
      </c>
    </row>
    <row r="76" spans="2:8" ht="15.6">
      <c r="B76" s="31" t="s">
        <v>773</v>
      </c>
      <c r="C76" s="31" t="s">
        <v>463</v>
      </c>
      <c r="D76" s="277" t="s">
        <v>465</v>
      </c>
      <c r="E76" s="297" t="s">
        <v>481</v>
      </c>
      <c r="F76" s="297" t="s">
        <v>481</v>
      </c>
      <c r="G76" s="297" t="s">
        <v>481</v>
      </c>
      <c r="H76" s="31" t="s">
        <v>482</v>
      </c>
    </row>
    <row r="77" spans="2:8" ht="15.6">
      <c r="B77" s="31" t="s">
        <v>774</v>
      </c>
      <c r="C77" s="31" t="s">
        <v>463</v>
      </c>
      <c r="D77" s="169" t="str">
        <f>D75</f>
        <v>Use projected</v>
      </c>
      <c r="E77" s="296" t="s">
        <v>464</v>
      </c>
      <c r="F77" s="296" t="s">
        <v>464</v>
      </c>
      <c r="G77" s="296" t="s">
        <v>464</v>
      </c>
      <c r="H77" s="170"/>
    </row>
    <row r="78" spans="2:8" ht="15.6">
      <c r="B78" s="31" t="s">
        <v>769</v>
      </c>
      <c r="C78" s="31" t="s">
        <v>463</v>
      </c>
      <c r="D78" s="277" t="s">
        <v>465</v>
      </c>
      <c r="E78" s="297" t="s">
        <v>481</v>
      </c>
      <c r="F78" s="297" t="s">
        <v>481</v>
      </c>
      <c r="G78" s="297" t="s">
        <v>481</v>
      </c>
      <c r="H78" s="31" t="s">
        <v>482</v>
      </c>
    </row>
    <row r="79" spans="2:8" ht="15.6">
      <c r="B79" s="31" t="s">
        <v>770</v>
      </c>
      <c r="C79" s="31" t="s">
        <v>463</v>
      </c>
      <c r="D79" s="277" t="s">
        <v>465</v>
      </c>
      <c r="E79" s="297" t="s">
        <v>481</v>
      </c>
      <c r="F79" s="297" t="s">
        <v>481</v>
      </c>
      <c r="G79" s="297" t="s">
        <v>481</v>
      </c>
      <c r="H79" s="31" t="s">
        <v>482</v>
      </c>
    </row>
    <row r="80" spans="2:8" ht="15.6">
      <c r="B80" s="31" t="s">
        <v>771</v>
      </c>
      <c r="C80" s="31" t="s">
        <v>463</v>
      </c>
      <c r="D80" s="277" t="s">
        <v>465</v>
      </c>
      <c r="E80" s="297" t="s">
        <v>481</v>
      </c>
      <c r="F80" s="297" t="s">
        <v>481</v>
      </c>
      <c r="G80" s="297" t="s">
        <v>481</v>
      </c>
      <c r="H80" s="31" t="s">
        <v>482</v>
      </c>
    </row>
    <row r="81" spans="2:8" ht="15.6">
      <c r="B81" s="31" t="s">
        <v>767</v>
      </c>
      <c r="C81" s="31" t="s">
        <v>463</v>
      </c>
      <c r="D81" s="277" t="s">
        <v>465</v>
      </c>
      <c r="E81" s="297" t="s">
        <v>481</v>
      </c>
      <c r="F81" s="297" t="s">
        <v>481</v>
      </c>
      <c r="G81" s="297" t="s">
        <v>481</v>
      </c>
      <c r="H81" s="31" t="s">
        <v>482</v>
      </c>
    </row>
    <row r="82" spans="2:8" ht="15.6">
      <c r="B82" s="31" t="s">
        <v>768</v>
      </c>
      <c r="C82" s="31" t="s">
        <v>463</v>
      </c>
      <c r="D82" s="277" t="s">
        <v>465</v>
      </c>
      <c r="E82" s="297" t="s">
        <v>481</v>
      </c>
      <c r="F82" s="297" t="s">
        <v>481</v>
      </c>
      <c r="G82" s="297" t="s">
        <v>481</v>
      </c>
      <c r="H82" s="31" t="s">
        <v>482</v>
      </c>
    </row>
    <row r="83" spans="2:8" ht="15.6">
      <c r="B83" s="31" t="s">
        <v>775</v>
      </c>
      <c r="C83" s="31" t="s">
        <v>463</v>
      </c>
      <c r="D83" s="277" t="s">
        <v>465</v>
      </c>
      <c r="E83" s="296">
        <v>0</v>
      </c>
      <c r="F83" s="296">
        <v>0</v>
      </c>
      <c r="G83" s="296">
        <v>0</v>
      </c>
      <c r="H83" s="31"/>
    </row>
    <row r="84" spans="2:8" ht="15.6">
      <c r="B84" s="31" t="s">
        <v>941</v>
      </c>
      <c r="C84" s="31" t="s">
        <v>463</v>
      </c>
      <c r="D84" s="277" t="s">
        <v>465</v>
      </c>
      <c r="E84" s="296">
        <v>0</v>
      </c>
      <c r="F84" s="296">
        <v>0</v>
      </c>
      <c r="G84" s="296">
        <v>0</v>
      </c>
      <c r="H84" s="31"/>
    </row>
    <row r="85" spans="2:8" ht="15.6">
      <c r="B85" s="31" t="s">
        <v>470</v>
      </c>
      <c r="C85" s="31" t="s">
        <v>463</v>
      </c>
      <c r="D85" s="277" t="s">
        <v>465</v>
      </c>
      <c r="E85" s="296">
        <v>0</v>
      </c>
      <c r="F85" s="296">
        <v>0</v>
      </c>
      <c r="G85" s="296">
        <v>0</v>
      </c>
      <c r="H85" s="31"/>
    </row>
    <row r="86" spans="2:8">
      <c r="D86" s="142"/>
      <c r="E86" s="121"/>
    </row>
    <row r="87" spans="2:8">
      <c r="D87" s="142"/>
      <c r="E87" s="121"/>
    </row>
    <row r="88" spans="2:8" ht="14.4" customHeight="1">
      <c r="B88" s="274"/>
      <c r="C88" s="275"/>
      <c r="D88" s="614" t="s">
        <v>483</v>
      </c>
      <c r="E88" s="615"/>
      <c r="F88" s="615"/>
      <c r="G88" s="615"/>
      <c r="H88" s="616"/>
    </row>
    <row r="89" spans="2:8" ht="28.65" customHeight="1">
      <c r="B89" s="292" t="s">
        <v>455</v>
      </c>
      <c r="C89" s="292" t="s">
        <v>456</v>
      </c>
      <c r="D89" s="290" t="s">
        <v>457</v>
      </c>
      <c r="E89" s="279" t="s">
        <v>458</v>
      </c>
      <c r="F89" s="279" t="s">
        <v>459</v>
      </c>
      <c r="G89" s="280" t="s">
        <v>460</v>
      </c>
      <c r="H89" s="291" t="s">
        <v>461</v>
      </c>
    </row>
    <row r="90" spans="2:8" ht="15.6">
      <c r="B90" s="31" t="s">
        <v>772</v>
      </c>
      <c r="C90" s="31" t="s">
        <v>463</v>
      </c>
      <c r="D90" s="278" t="s">
        <v>465</v>
      </c>
      <c r="E90" s="296">
        <v>-65.905422916666694</v>
      </c>
      <c r="F90" s="296">
        <v>-68.477907116666699</v>
      </c>
      <c r="G90" s="296">
        <v>-52.8974732</v>
      </c>
      <c r="H90" s="31"/>
    </row>
    <row r="91" spans="2:8" ht="15.6">
      <c r="B91" s="31" t="s">
        <v>773</v>
      </c>
      <c r="C91" s="31" t="s">
        <v>463</v>
      </c>
      <c r="D91" s="278" t="s">
        <v>465</v>
      </c>
      <c r="E91" s="296">
        <v>-68.980637796406697</v>
      </c>
      <c r="F91" s="296">
        <v>-64.7286061327396</v>
      </c>
      <c r="G91" s="296">
        <v>-78.835014624464804</v>
      </c>
      <c r="H91" s="31"/>
    </row>
    <row r="92" spans="2:8" ht="15.6">
      <c r="B92" s="31" t="s">
        <v>774</v>
      </c>
      <c r="C92" s="31" t="s">
        <v>463</v>
      </c>
      <c r="D92" s="169" t="str">
        <f>D90</f>
        <v>Use projected</v>
      </c>
      <c r="E92" s="296" t="s">
        <v>464</v>
      </c>
      <c r="F92" s="296" t="s">
        <v>464</v>
      </c>
      <c r="G92" s="296" t="s">
        <v>464</v>
      </c>
      <c r="H92" s="170"/>
    </row>
    <row r="93" spans="2:8" ht="15.6">
      <c r="B93" s="31" t="s">
        <v>769</v>
      </c>
      <c r="C93" s="31" t="s">
        <v>463</v>
      </c>
      <c r="D93" s="278" t="s">
        <v>465</v>
      </c>
      <c r="E93" s="296">
        <v>-64.138620000000003</v>
      </c>
      <c r="F93" s="296">
        <v>-66.642140640000008</v>
      </c>
      <c r="G93" s="296">
        <v>-51.479389439999999</v>
      </c>
      <c r="H93" s="31"/>
    </row>
    <row r="94" spans="2:8" ht="15.6">
      <c r="B94" s="31" t="s">
        <v>770</v>
      </c>
      <c r="C94" s="31" t="s">
        <v>463</v>
      </c>
      <c r="D94" s="278" t="s">
        <v>465</v>
      </c>
      <c r="E94" s="296">
        <v>-67.130693270222494</v>
      </c>
      <c r="F94" s="296">
        <v>-62.992693934359799</v>
      </c>
      <c r="G94" s="296">
        <v>-76.720792308825693</v>
      </c>
      <c r="H94" s="31"/>
    </row>
    <row r="95" spans="2:8" ht="15.6">
      <c r="B95" s="31" t="s">
        <v>771</v>
      </c>
      <c r="C95" s="31" t="s">
        <v>463</v>
      </c>
      <c r="D95" s="278" t="s">
        <v>465</v>
      </c>
      <c r="E95" s="296">
        <v>-179.42922008547009</v>
      </c>
      <c r="F95" s="296">
        <v>-183.20667735042736</v>
      </c>
      <c r="G95" s="296">
        <v>-176.785</v>
      </c>
      <c r="H95" s="31"/>
    </row>
    <row r="96" spans="2:8" ht="15.6">
      <c r="B96" s="31" t="s">
        <v>767</v>
      </c>
      <c r="C96" s="31" t="s">
        <v>463</v>
      </c>
      <c r="D96" s="278" t="s">
        <v>465</v>
      </c>
      <c r="E96" s="296">
        <f>-127.675438596491*95%</f>
        <v>-121.29166666666644</v>
      </c>
      <c r="F96" s="296">
        <f>-127.675438596491*97%</f>
        <v>-123.84517543859627</v>
      </c>
      <c r="G96" s="296">
        <f>-127.675438596491*90%</f>
        <v>-114.90789473684191</v>
      </c>
      <c r="H96" s="31"/>
    </row>
    <row r="97" spans="2:8" ht="15.6">
      <c r="B97" s="31" t="s">
        <v>768</v>
      </c>
      <c r="C97" s="31" t="s">
        <v>463</v>
      </c>
      <c r="D97" s="278" t="s">
        <v>465</v>
      </c>
      <c r="E97" s="296">
        <f>-127.675438596491*95%</f>
        <v>-121.29166666666644</v>
      </c>
      <c r="F97" s="296">
        <f>-127.675438596491*97%</f>
        <v>-123.84517543859627</v>
      </c>
      <c r="G97" s="296">
        <f>-127.675438596491*90%</f>
        <v>-114.90789473684191</v>
      </c>
      <c r="H97" s="31"/>
    </row>
    <row r="98" spans="2:8" ht="15.6">
      <c r="B98" s="31" t="s">
        <v>775</v>
      </c>
      <c r="C98" s="31" t="s">
        <v>463</v>
      </c>
      <c r="D98" s="278" t="s">
        <v>465</v>
      </c>
      <c r="E98" s="296">
        <v>0</v>
      </c>
      <c r="F98" s="296">
        <v>0</v>
      </c>
      <c r="G98" s="296">
        <v>0</v>
      </c>
      <c r="H98" s="31"/>
    </row>
    <row r="99" spans="2:8" ht="15.6">
      <c r="B99" s="31" t="s">
        <v>941</v>
      </c>
      <c r="C99" s="31" t="s">
        <v>463</v>
      </c>
      <c r="D99" s="278" t="s">
        <v>465</v>
      </c>
      <c r="E99" s="296">
        <v>0</v>
      </c>
      <c r="F99" s="296">
        <v>0</v>
      </c>
      <c r="G99" s="296">
        <v>0</v>
      </c>
      <c r="H99" s="31"/>
    </row>
    <row r="100" spans="2:8" ht="15.6">
      <c r="B100" s="31" t="s">
        <v>470</v>
      </c>
      <c r="C100" s="31" t="s">
        <v>463</v>
      </c>
      <c r="D100" s="278" t="s">
        <v>465</v>
      </c>
      <c r="E100" s="296">
        <v>0</v>
      </c>
      <c r="F100" s="296">
        <v>0</v>
      </c>
      <c r="G100" s="296">
        <v>0</v>
      </c>
      <c r="H100" s="31"/>
    </row>
    <row r="101" spans="2:8">
      <c r="D101" s="142"/>
      <c r="E101" s="121"/>
    </row>
    <row r="102" spans="2:8">
      <c r="D102" s="142"/>
      <c r="E102" s="121"/>
    </row>
    <row r="103" spans="2:8" ht="14.4" customHeight="1">
      <c r="B103" s="274"/>
      <c r="C103" s="275"/>
      <c r="D103" s="614" t="s">
        <v>484</v>
      </c>
      <c r="E103" s="615"/>
      <c r="F103" s="615"/>
      <c r="G103" s="615"/>
      <c r="H103" s="616"/>
    </row>
    <row r="104" spans="2:8" ht="28.65" customHeight="1">
      <c r="B104" s="292" t="s">
        <v>455</v>
      </c>
      <c r="C104" s="292" t="s">
        <v>456</v>
      </c>
      <c r="D104" s="290" t="s">
        <v>457</v>
      </c>
      <c r="E104" s="279" t="s">
        <v>458</v>
      </c>
      <c r="F104" s="279" t="s">
        <v>459</v>
      </c>
      <c r="G104" s="280" t="s">
        <v>460</v>
      </c>
      <c r="H104" s="291" t="s">
        <v>461</v>
      </c>
    </row>
    <row r="105" spans="2:8" ht="15.6">
      <c r="B105" s="31" t="s">
        <v>772</v>
      </c>
      <c r="C105" s="31" t="s">
        <v>463</v>
      </c>
      <c r="D105" s="278" t="s">
        <v>465</v>
      </c>
      <c r="E105" s="296">
        <v>0.44520000000000004</v>
      </c>
      <c r="F105" s="296">
        <v>0.44520000000000004</v>
      </c>
      <c r="G105" s="296">
        <v>0.44520000000000004</v>
      </c>
      <c r="H105" s="31"/>
    </row>
    <row r="106" spans="2:8" ht="15.6">
      <c r="B106" s="31" t="s">
        <v>773</v>
      </c>
      <c r="C106" s="31" t="s">
        <v>463</v>
      </c>
      <c r="D106" s="278" t="s">
        <v>465</v>
      </c>
      <c r="E106" s="296">
        <v>0</v>
      </c>
      <c r="F106" s="296">
        <v>0</v>
      </c>
      <c r="G106" s="296">
        <v>0</v>
      </c>
      <c r="H106" s="31"/>
    </row>
    <row r="107" spans="2:8" ht="15.6">
      <c r="B107" s="31" t="s">
        <v>774</v>
      </c>
      <c r="C107" s="31" t="s">
        <v>463</v>
      </c>
      <c r="D107" s="169" t="str">
        <f>D105</f>
        <v>Use projected</v>
      </c>
      <c r="E107" s="296" t="s">
        <v>464</v>
      </c>
      <c r="F107" s="296" t="s">
        <v>464</v>
      </c>
      <c r="G107" s="296" t="s">
        <v>464</v>
      </c>
      <c r="H107" s="170"/>
    </row>
    <row r="108" spans="2:8" ht="15.6">
      <c r="B108" s="31" t="s">
        <v>769</v>
      </c>
      <c r="C108" s="31" t="s">
        <v>463</v>
      </c>
      <c r="D108" s="278" t="s">
        <v>465</v>
      </c>
      <c r="E108" s="296">
        <v>0.44520000000000004</v>
      </c>
      <c r="F108" s="296">
        <v>0.44520000000000004</v>
      </c>
      <c r="G108" s="296">
        <v>0.44520000000000004</v>
      </c>
      <c r="H108" s="31"/>
    </row>
    <row r="109" spans="2:8" ht="15.6">
      <c r="B109" s="31" t="s">
        <v>770</v>
      </c>
      <c r="C109" s="31" t="s">
        <v>463</v>
      </c>
      <c r="D109" s="278" t="s">
        <v>465</v>
      </c>
      <c r="E109" s="296">
        <v>0</v>
      </c>
      <c r="F109" s="296">
        <v>0</v>
      </c>
      <c r="G109" s="296">
        <v>0</v>
      </c>
      <c r="H109" s="31"/>
    </row>
    <row r="110" spans="2:8" ht="15.6">
      <c r="B110" s="31" t="s">
        <v>771</v>
      </c>
      <c r="C110" s="31" t="s">
        <v>463</v>
      </c>
      <c r="D110" s="278" t="s">
        <v>465</v>
      </c>
      <c r="E110" s="296">
        <v>0</v>
      </c>
      <c r="F110" s="296">
        <v>0</v>
      </c>
      <c r="G110" s="296">
        <v>0</v>
      </c>
      <c r="H110" s="31"/>
    </row>
    <row r="111" spans="2:8" ht="15.6">
      <c r="B111" s="31" t="s">
        <v>767</v>
      </c>
      <c r="C111" s="31" t="s">
        <v>463</v>
      </c>
      <c r="D111" s="278" t="s">
        <v>465</v>
      </c>
      <c r="E111" s="296">
        <v>0</v>
      </c>
      <c r="F111" s="296">
        <v>0</v>
      </c>
      <c r="G111" s="296">
        <v>0</v>
      </c>
      <c r="H111" s="31"/>
    </row>
    <row r="112" spans="2:8" ht="15.6">
      <c r="B112" s="31" t="s">
        <v>768</v>
      </c>
      <c r="C112" s="31" t="s">
        <v>463</v>
      </c>
      <c r="D112" s="278" t="s">
        <v>465</v>
      </c>
      <c r="E112" s="296">
        <v>0</v>
      </c>
      <c r="F112" s="296">
        <v>0</v>
      </c>
      <c r="G112" s="296">
        <v>0</v>
      </c>
      <c r="H112" s="31"/>
    </row>
    <row r="113" spans="2:15" ht="15.6">
      <c r="B113" s="31" t="s">
        <v>775</v>
      </c>
      <c r="C113" s="31" t="s">
        <v>463</v>
      </c>
      <c r="D113" s="278" t="s">
        <v>465</v>
      </c>
      <c r="E113" s="296">
        <v>0</v>
      </c>
      <c r="F113" s="296">
        <v>0</v>
      </c>
      <c r="G113" s="296">
        <v>0</v>
      </c>
      <c r="H113" s="31"/>
    </row>
    <row r="114" spans="2:15" ht="15.6">
      <c r="B114" s="31" t="s">
        <v>941</v>
      </c>
      <c r="C114" s="31" t="s">
        <v>463</v>
      </c>
      <c r="D114" s="278" t="s">
        <v>465</v>
      </c>
      <c r="E114" s="296">
        <v>0</v>
      </c>
      <c r="F114" s="296">
        <v>0</v>
      </c>
      <c r="G114" s="296">
        <v>0</v>
      </c>
      <c r="H114" s="31"/>
    </row>
    <row r="115" spans="2:15" ht="15.6">
      <c r="B115" s="31" t="s">
        <v>470</v>
      </c>
      <c r="C115" s="31" t="s">
        <v>463</v>
      </c>
      <c r="D115" s="278" t="s">
        <v>465</v>
      </c>
      <c r="E115" s="296">
        <v>0</v>
      </c>
      <c r="F115" s="296">
        <v>0</v>
      </c>
      <c r="G115" s="296">
        <v>0</v>
      </c>
      <c r="H115" s="31"/>
      <c r="O115" s="93"/>
    </row>
    <row r="116" spans="2:15">
      <c r="O116" s="177"/>
    </row>
    <row r="117" spans="2:15">
      <c r="O117" s="177"/>
    </row>
    <row r="118" spans="2:15" ht="14.4" customHeight="1">
      <c r="B118" s="274"/>
      <c r="C118" s="275"/>
      <c r="D118" s="614" t="s">
        <v>776</v>
      </c>
      <c r="E118" s="615"/>
      <c r="F118" s="615"/>
      <c r="G118" s="615"/>
      <c r="H118" s="616"/>
      <c r="O118" s="177"/>
    </row>
    <row r="119" spans="2:15" ht="28.65" customHeight="1">
      <c r="B119" s="292" t="s">
        <v>455</v>
      </c>
      <c r="C119" s="292" t="s">
        <v>456</v>
      </c>
      <c r="D119" s="293" t="s">
        <v>457</v>
      </c>
      <c r="E119" s="294" t="s">
        <v>458</v>
      </c>
      <c r="F119" s="294" t="s">
        <v>459</v>
      </c>
      <c r="G119" s="295" t="s">
        <v>460</v>
      </c>
      <c r="H119" s="291" t="s">
        <v>461</v>
      </c>
      <c r="O119" s="177"/>
    </row>
    <row r="120" spans="2:15" ht="15.6">
      <c r="B120" s="31" t="s">
        <v>772</v>
      </c>
      <c r="C120" s="31" t="s">
        <v>463</v>
      </c>
      <c r="D120" s="278" t="s">
        <v>485</v>
      </c>
      <c r="E120" s="296">
        <f>SUM(E105,E90,E75,E60,E45,E30,E15)</f>
        <v>21.233377943996537</v>
      </c>
      <c r="F120" s="296">
        <f t="shared" ref="F120:G127" si="1">SUM(F105,F90,F75,F60,F45,F30,F15)</f>
        <v>13.505344470759264</v>
      </c>
      <c r="G120" s="296">
        <f t="shared" si="1"/>
        <v>50.073322914069564</v>
      </c>
      <c r="H120" s="31"/>
      <c r="J120" s="483"/>
      <c r="K120" s="483"/>
      <c r="L120" s="483"/>
      <c r="O120" s="177"/>
    </row>
    <row r="121" spans="2:15" ht="15.6">
      <c r="B121" s="31" t="s">
        <v>773</v>
      </c>
      <c r="C121" s="31" t="s">
        <v>463</v>
      </c>
      <c r="D121" s="278" t="s">
        <v>485</v>
      </c>
      <c r="E121" s="296">
        <f>SUM(E106,E91,E76,E61,E46,E31,E16)</f>
        <v>14.569430051780628</v>
      </c>
      <c r="F121" s="296">
        <f t="shared" si="1"/>
        <v>9.6978416164981667</v>
      </c>
      <c r="G121" s="296">
        <f t="shared" si="1"/>
        <v>29.087091882027863</v>
      </c>
      <c r="H121" s="31"/>
      <c r="J121" s="483"/>
      <c r="K121" s="483"/>
      <c r="L121" s="483"/>
      <c r="O121" s="177"/>
    </row>
    <row r="122" spans="2:15" ht="15.6">
      <c r="B122" s="31" t="s">
        <v>774</v>
      </c>
      <c r="C122" s="31" t="s">
        <v>463</v>
      </c>
      <c r="D122" s="169" t="str">
        <f>D120</f>
        <v>NA</v>
      </c>
      <c r="E122" s="296" t="s">
        <v>464</v>
      </c>
      <c r="F122" s="296" t="s">
        <v>464</v>
      </c>
      <c r="G122" s="296" t="s">
        <v>464</v>
      </c>
      <c r="H122" s="170"/>
      <c r="J122" s="483"/>
      <c r="K122" s="483"/>
      <c r="L122" s="483"/>
    </row>
    <row r="123" spans="2:15" ht="15.6">
      <c r="B123" s="31" t="s">
        <v>769</v>
      </c>
      <c r="C123" s="31" t="s">
        <v>463</v>
      </c>
      <c r="D123" s="278" t="s">
        <v>485</v>
      </c>
      <c r="E123" s="296">
        <f>SUM(E108,E93,E78,E63,E48,E33,E18)</f>
        <v>-59.317632104912974</v>
      </c>
      <c r="F123" s="296">
        <f t="shared" si="1"/>
        <v>-109.9423764390769</v>
      </c>
      <c r="G123" s="296">
        <f t="shared" si="1"/>
        <v>-19.535790905783621</v>
      </c>
      <c r="H123" s="31"/>
      <c r="J123" s="483"/>
      <c r="K123" s="483"/>
      <c r="L123" s="483"/>
      <c r="O123" s="177"/>
    </row>
    <row r="124" spans="2:15" ht="15.6">
      <c r="B124" s="31" t="s">
        <v>770</v>
      </c>
      <c r="C124" s="31" t="s">
        <v>463</v>
      </c>
      <c r="D124" s="278" t="s">
        <v>485</v>
      </c>
      <c r="E124" s="296">
        <f>SUM(E109,E94,E79,E64,E49,E34,E19)</f>
        <v>-60.67034010076447</v>
      </c>
      <c r="F124" s="296">
        <f t="shared" si="1"/>
        <v>-100.23040772816512</v>
      </c>
      <c r="G124" s="296">
        <f t="shared" si="1"/>
        <v>-43.351716858626432</v>
      </c>
      <c r="H124" s="31"/>
      <c r="J124" s="483"/>
      <c r="K124" s="483"/>
      <c r="L124" s="483"/>
      <c r="O124" s="177"/>
    </row>
    <row r="125" spans="2:15" ht="15.6">
      <c r="B125" s="31" t="s">
        <v>771</v>
      </c>
      <c r="C125" s="31" t="s">
        <v>463</v>
      </c>
      <c r="D125" s="278" t="s">
        <v>485</v>
      </c>
      <c r="E125" s="296">
        <f>SUM(E110,E95,E80,E65,E50,E35,E20)</f>
        <v>-172.46025401385648</v>
      </c>
      <c r="F125" s="296">
        <f t="shared" si="1"/>
        <v>-177.09584767974479</v>
      </c>
      <c r="G125" s="296">
        <f t="shared" si="1"/>
        <v>-164.26537217803076</v>
      </c>
      <c r="H125" s="31"/>
      <c r="J125" s="483"/>
      <c r="K125" s="483"/>
      <c r="L125" s="483"/>
      <c r="O125" s="177"/>
    </row>
    <row r="126" spans="2:15" ht="15.6">
      <c r="B126" s="31" t="s">
        <v>767</v>
      </c>
      <c r="C126" s="31" t="s">
        <v>463</v>
      </c>
      <c r="D126" s="278" t="s">
        <v>485</v>
      </c>
      <c r="E126" s="296">
        <f>SUM(E111,E96,E81,E66,E51,E36,E21)</f>
        <v>-110.26288388337406</v>
      </c>
      <c r="F126" s="296">
        <f t="shared" si="1"/>
        <v>-113.34044866451329</v>
      </c>
      <c r="G126" s="296">
        <f t="shared" si="1"/>
        <v>-100.40344076210862</v>
      </c>
      <c r="H126" s="31"/>
      <c r="J126" s="483"/>
      <c r="K126" s="483"/>
      <c r="L126" s="483"/>
      <c r="O126" s="177"/>
    </row>
    <row r="127" spans="2:15" ht="15.6">
      <c r="B127" s="31" t="s">
        <v>768</v>
      </c>
      <c r="C127" s="31" t="s">
        <v>463</v>
      </c>
      <c r="D127" s="278" t="s">
        <v>485</v>
      </c>
      <c r="E127" s="296">
        <f>SUM(E112,E97,E82,E67,E52,E37,E22)</f>
        <v>17.412554713116943</v>
      </c>
      <c r="F127" s="296">
        <f t="shared" si="1"/>
        <v>14.334989931977713</v>
      </c>
      <c r="G127" s="296">
        <f t="shared" si="1"/>
        <v>27.271997834382397</v>
      </c>
      <c r="H127" s="31"/>
      <c r="J127" s="483"/>
      <c r="K127" s="483"/>
      <c r="L127" s="483"/>
      <c r="O127" s="177"/>
    </row>
    <row r="128" spans="2:15" ht="15.6">
      <c r="B128" s="31" t="s">
        <v>775</v>
      </c>
      <c r="C128" s="31" t="s">
        <v>463</v>
      </c>
      <c r="D128" s="278" t="s">
        <v>485</v>
      </c>
      <c r="E128" s="296">
        <f t="shared" ref="E128:G128" si="2">SUM(E113,E98,E83,E68,E53,E38,E23)</f>
        <v>51.414801836349511</v>
      </c>
      <c r="F128" s="296">
        <f t="shared" si="2"/>
        <v>49.390723538367332</v>
      </c>
      <c r="G128" s="296">
        <f t="shared" si="2"/>
        <v>64.491681764224637</v>
      </c>
      <c r="H128" s="31"/>
      <c r="J128" s="483"/>
      <c r="K128" s="483"/>
      <c r="L128" s="483"/>
      <c r="O128" s="177"/>
    </row>
    <row r="129" spans="2:15" ht="15.6">
      <c r="B129" s="31" t="s">
        <v>941</v>
      </c>
      <c r="C129" s="31" t="s">
        <v>463</v>
      </c>
      <c r="D129" s="278" t="s">
        <v>485</v>
      </c>
      <c r="E129" s="296">
        <f t="shared" ref="E129:G129" si="3">SUM(E114,E99,E84,E69,E54,E39,E24)</f>
        <v>0.1051</v>
      </c>
      <c r="F129" s="296">
        <f t="shared" si="3"/>
        <v>9.2847027027027018E-2</v>
      </c>
      <c r="G129" s="296">
        <f t="shared" si="3"/>
        <v>0.10511531531531532</v>
      </c>
      <c r="H129" s="31"/>
      <c r="J129" s="483"/>
      <c r="K129" s="483"/>
      <c r="L129" s="483"/>
      <c r="O129" s="177"/>
    </row>
    <row r="130" spans="2:15" ht="15.6">
      <c r="B130" s="31" t="s">
        <v>470</v>
      </c>
      <c r="C130" s="31" t="s">
        <v>463</v>
      </c>
      <c r="D130" s="278" t="s">
        <v>485</v>
      </c>
      <c r="E130" s="296">
        <f t="shared" ref="E130:G130" si="4">SUM(E115,E100,E85,E70,E55,E40,E25)</f>
        <v>6.2378004083423777</v>
      </c>
      <c r="F130" s="296">
        <f t="shared" si="4"/>
        <v>1.4013051471389366</v>
      </c>
      <c r="G130" s="296">
        <f t="shared" si="4"/>
        <v>8.1423194572153132</v>
      </c>
      <c r="H130" s="31"/>
      <c r="J130" s="483"/>
      <c r="K130" s="483"/>
      <c r="L130" s="483"/>
      <c r="O130" s="177"/>
    </row>
    <row r="131" spans="2:15">
      <c r="O131" s="177"/>
    </row>
    <row r="132" spans="2:15">
      <c r="O132" s="177"/>
    </row>
    <row r="133" spans="2:15">
      <c r="O133" s="177"/>
    </row>
    <row r="134" spans="2:15" s="166" customFormat="1">
      <c r="B134" s="166" t="s">
        <v>486</v>
      </c>
    </row>
    <row r="136" spans="2:15">
      <c r="B136" s="28" t="s">
        <v>487</v>
      </c>
      <c r="C136" s="28" t="s">
        <v>456</v>
      </c>
      <c r="D136" s="298" t="s">
        <v>488</v>
      </c>
    </row>
    <row r="137" spans="2:15">
      <c r="B137" t="s">
        <v>745</v>
      </c>
      <c r="C137" t="s">
        <v>237</v>
      </c>
      <c r="D137" s="126">
        <f>IF(OR(Initial_questions!$E$95=Units!$E$121,Initial_questions!$E$97=Units!$E$121), 3, Output_pressure)</f>
        <v>0</v>
      </c>
      <c r="E137" t="s">
        <v>884</v>
      </c>
    </row>
    <row r="138" spans="2:15">
      <c r="B138" t="s">
        <v>746</v>
      </c>
      <c r="C138" t="s">
        <v>489</v>
      </c>
      <c r="D138">
        <f>Output_temperature</f>
        <v>0</v>
      </c>
    </row>
    <row r="139" spans="2:15">
      <c r="B139" t="s">
        <v>744</v>
      </c>
      <c r="C139" t="s">
        <v>237</v>
      </c>
      <c r="D139" s="126">
        <f>IF(AND(Output_pressure&gt;3, OR(Initial_questions!$E$95=Units!$E$121,Initial_questions!$E$97=Units!$E$121)), Output_pressure, 3)</f>
        <v>3</v>
      </c>
      <c r="E139" t="s">
        <v>885</v>
      </c>
    </row>
    <row r="140" spans="2:15" ht="16.2">
      <c r="B140" t="s">
        <v>490</v>
      </c>
      <c r="C140" t="s">
        <v>491</v>
      </c>
      <c r="D140" s="139" t="str">
        <f>IFERROR(VLOOKUP(25*ROUND(MIN(MAX(D138,0),125)/25,0),B151:F156,5,FALSE), "Yet to provide pressure")</f>
        <v>Yet to provide pressure</v>
      </c>
      <c r="E140" s="139" t="s">
        <v>492</v>
      </c>
    </row>
    <row r="141" spans="2:15">
      <c r="B141" t="s">
        <v>493</v>
      </c>
      <c r="D141">
        <v>1.41</v>
      </c>
    </row>
    <row r="142" spans="2:15">
      <c r="B142" s="122" t="s">
        <v>494</v>
      </c>
      <c r="C142" s="122" t="s">
        <v>495</v>
      </c>
      <c r="D142" s="139" t="str">
        <f>IFERROR(MAX(0,((D141/(D141-1))*D137*10^6*D140*((D139/D137)^(((D141-1)/D141))-1))), "Yet to provide pressure")</f>
        <v>Yet to provide pressure</v>
      </c>
      <c r="E142" s="93"/>
    </row>
    <row r="143" spans="2:15">
      <c r="B143" t="s">
        <v>496</v>
      </c>
      <c r="C143" t="s">
        <v>497</v>
      </c>
      <c r="D143" s="477">
        <v>0.6</v>
      </c>
    </row>
    <row r="144" spans="2:15">
      <c r="B144" s="123" t="s">
        <v>498</v>
      </c>
      <c r="C144" s="123" t="s">
        <v>743</v>
      </c>
      <c r="D144" s="140" t="str">
        <f>IFERROR(D142/((3.6*10^6)*D143), "Yet to provide pressure")</f>
        <v>Yet to provide pressure</v>
      </c>
    </row>
    <row r="145" spans="2:6" ht="15.6">
      <c r="B145" t="s">
        <v>499</v>
      </c>
      <c r="C145" t="s">
        <v>698</v>
      </c>
      <c r="D145" s="462" t="str">
        <f>Initial_questions!$E$81</f>
        <v>Yet to provide electricity source</v>
      </c>
    </row>
    <row r="146" spans="2:6" ht="15.6">
      <c r="B146" s="28" t="s">
        <v>500</v>
      </c>
      <c r="C146" s="28" t="s">
        <v>699</v>
      </c>
      <c r="D146" s="127" t="str">
        <f>IFERROR(D144*D145*1000/120, "Yet to provide pressure or electricity source")</f>
        <v>Yet to provide pressure or electricity source</v>
      </c>
    </row>
    <row r="147" spans="2:6">
      <c r="D147" s="93"/>
    </row>
    <row r="148" spans="2:6">
      <c r="B148" s="28" t="s">
        <v>501</v>
      </c>
      <c r="C148" s="28"/>
      <c r="D148" s="92"/>
    </row>
    <row r="149" spans="2:6">
      <c r="D149" s="80"/>
    </row>
    <row r="150" spans="2:6" ht="16.2">
      <c r="B150" s="292" t="s">
        <v>502</v>
      </c>
      <c r="C150" s="292" t="s">
        <v>503</v>
      </c>
      <c r="D150" s="292" t="s">
        <v>504</v>
      </c>
      <c r="E150" s="292" t="s">
        <v>505</v>
      </c>
      <c r="F150" s="292" t="s">
        <v>490</v>
      </c>
    </row>
    <row r="151" spans="2:6">
      <c r="B151" s="456">
        <v>0</v>
      </c>
      <c r="C151" s="457">
        <v>1.1651</v>
      </c>
      <c r="D151" s="457">
        <v>-0.93500000000000005</v>
      </c>
      <c r="E151" s="457">
        <v>0.99980000000000002</v>
      </c>
      <c r="F151" s="457" t="e">
        <f t="shared" ref="F151:F156" si="5">C151*$D$137^(D151)</f>
        <v>#DIV/0!</v>
      </c>
    </row>
    <row r="152" spans="2:6">
      <c r="B152" s="456">
        <v>25</v>
      </c>
      <c r="C152" s="457">
        <v>1.2690999999999999</v>
      </c>
      <c r="D152" s="457">
        <v>-0.93899999999999995</v>
      </c>
      <c r="E152" s="457">
        <v>0.99980000000000002</v>
      </c>
      <c r="F152" s="457" t="e">
        <f t="shared" si="5"/>
        <v>#DIV/0!</v>
      </c>
    </row>
    <row r="153" spans="2:6">
      <c r="B153" s="456">
        <v>50</v>
      </c>
      <c r="C153" s="457">
        <v>1.373</v>
      </c>
      <c r="D153" s="457">
        <v>-0.94299999999999995</v>
      </c>
      <c r="E153" s="457">
        <v>0.99980000000000002</v>
      </c>
      <c r="F153" s="457" t="e">
        <f t="shared" si="5"/>
        <v>#DIV/0!</v>
      </c>
    </row>
    <row r="154" spans="2:6">
      <c r="B154" s="456">
        <v>75</v>
      </c>
      <c r="C154" s="457">
        <v>1.4766999999999999</v>
      </c>
      <c r="D154" s="457">
        <v>-0.94599999999999995</v>
      </c>
      <c r="E154" s="457">
        <v>0.99990000000000001</v>
      </c>
      <c r="F154" s="457" t="e">
        <f t="shared" si="5"/>
        <v>#DIV/0!</v>
      </c>
    </row>
    <row r="155" spans="2:6">
      <c r="B155" s="456">
        <v>100</v>
      </c>
      <c r="C155" s="457">
        <v>1.5804</v>
      </c>
      <c r="D155" s="457">
        <v>-0.94899999999999995</v>
      </c>
      <c r="E155" s="457">
        <v>0.99990000000000001</v>
      </c>
      <c r="F155" s="457" t="e">
        <f t="shared" si="5"/>
        <v>#DIV/0!</v>
      </c>
    </row>
    <row r="156" spans="2:6">
      <c r="B156" s="456">
        <v>125</v>
      </c>
      <c r="C156" s="457">
        <v>1.6839</v>
      </c>
      <c r="D156" s="457">
        <v>-0.95199999999999996</v>
      </c>
      <c r="E156" s="457">
        <v>0.99990000000000001</v>
      </c>
      <c r="F156" s="457" t="e">
        <f t="shared" si="5"/>
        <v>#DIV/0!</v>
      </c>
    </row>
    <row r="157" spans="2:6">
      <c r="D157" s="80"/>
    </row>
    <row r="158" spans="2:6">
      <c r="D158" s="80"/>
    </row>
    <row r="159" spans="2:6" s="166" customFormat="1">
      <c r="B159" s="166" t="s">
        <v>506</v>
      </c>
      <c r="D159" s="193"/>
    </row>
    <row r="160" spans="2:6">
      <c r="D160" s="80"/>
    </row>
    <row r="161" spans="2:5">
      <c r="B161" s="28" t="s">
        <v>487</v>
      </c>
      <c r="C161" s="28" t="s">
        <v>456</v>
      </c>
      <c r="D161" s="299" t="s">
        <v>488</v>
      </c>
    </row>
    <row r="162" spans="2:5" ht="15.6">
      <c r="B162" s="122" t="s">
        <v>507</v>
      </c>
      <c r="C162" s="122" t="s">
        <v>508</v>
      </c>
      <c r="D162" s="124">
        <f>IF(Output_purity&lt;99.9%, 17.3/(29204*0.453592), IF(AND(Output_purity&gt;99.9%, OR(Initial_questions!$E$95=Units!$E$121,Initial_questions!$E$97=Units!$E$121)), 17.3/(29204*0.453592), 0))</f>
        <v>1.3059855659902531E-3</v>
      </c>
      <c r="E162" t="s">
        <v>886</v>
      </c>
    </row>
    <row r="163" spans="2:5" ht="15.6">
      <c r="B163" t="s">
        <v>499</v>
      </c>
      <c r="C163" t="s">
        <v>698</v>
      </c>
      <c r="D163" s="331" t="str">
        <f>$D$145</f>
        <v>Yet to provide electricity source</v>
      </c>
    </row>
    <row r="164" spans="2:5" ht="15.6">
      <c r="B164" s="28" t="s">
        <v>509</v>
      </c>
      <c r="C164" s="28" t="s">
        <v>699</v>
      </c>
      <c r="D164" s="125" t="str">
        <f>IFERROR(D162*D163*1000/120, "Yet to provide electricity source")</f>
        <v>Yet to provide electricity source</v>
      </c>
    </row>
    <row r="165" spans="2:5">
      <c r="D165" s="80"/>
    </row>
  </sheetData>
  <dataConsolidate/>
  <customSheetViews>
    <customSheetView guid="{43B6AE9C-E429-4506-98F3-C388B54AB8B6}" showGridLines="0">
      <selection activeCell="D1" sqref="D1"/>
      <pageMargins left="0" right="0" top="0" bottom="0" header="0" footer="0"/>
      <pageSetup paperSize="9" orientation="portrait" r:id="rId1"/>
    </customSheetView>
    <customSheetView guid="{D41C0D8C-591E-4B34-99B3-B45BA51A58EC}" showGridLines="0">
      <selection activeCell="D1" sqref="D1"/>
      <pageMargins left="0" right="0" top="0" bottom="0" header="0" footer="0"/>
      <pageSetup paperSize="9" orientation="portrait" r:id="rId2"/>
    </customSheetView>
    <customSheetView guid="{8F590910-6C03-4233-9C41-6540BF2DE453}" showGridLines="0">
      <selection activeCell="D1" sqref="D1"/>
      <pageMargins left="0" right="0" top="0" bottom="0" header="0" footer="0"/>
      <pageSetup paperSize="9" orientation="portrait" r:id="rId3"/>
    </customSheetView>
    <customSheetView guid="{55CEC4CC-9BBF-4F2D-BA17-E94F4B26FAC5}" showGridLines="0">
      <selection activeCell="D1" sqref="D1"/>
      <pageMargins left="0" right="0" top="0" bottom="0" header="0" footer="0"/>
      <pageSetup paperSize="9" orientation="portrait" r:id="rId4"/>
    </customSheetView>
    <customSheetView guid="{7735C88E-3A13-4DCF-BB32-4D20A306A8BB}" showGridLines="0">
      <selection activeCell="D1" sqref="D1"/>
      <pageMargins left="0" right="0" top="0" bottom="0" header="0" footer="0"/>
      <pageSetup paperSize="9" orientation="portrait" r:id="rId5"/>
    </customSheetView>
    <customSheetView guid="{27B9E3C6-8189-41E0-896B-02A30393FDC0}" showGridLines="0">
      <selection activeCell="D1" sqref="D1"/>
      <pageMargins left="0" right="0" top="0" bottom="0" header="0" footer="0"/>
      <pageSetup paperSize="9" orientation="portrait" r:id="rId6"/>
    </customSheetView>
    <customSheetView guid="{ED9AC919-98EB-43A3-A158-23FD7D007D30}" showGridLines="0">
      <selection activeCell="D1" sqref="D1"/>
      <pageMargins left="0" right="0" top="0" bottom="0" header="0" footer="0"/>
      <pageSetup paperSize="9" orientation="portrait" r:id="rId7"/>
    </customSheetView>
  </customSheetViews>
  <mergeCells count="8">
    <mergeCell ref="D43:H43"/>
    <mergeCell ref="D28:H28"/>
    <mergeCell ref="D13:H13"/>
    <mergeCell ref="D118:H118"/>
    <mergeCell ref="D103:H103"/>
    <mergeCell ref="D88:H88"/>
    <mergeCell ref="D73:H73"/>
    <mergeCell ref="D58:H58"/>
  </mergeCells>
  <dataValidations count="1">
    <dataValidation type="custom" allowBlank="1" showInputMessage="1" showErrorMessage="1" error="Please do not change these values" sqref="D15:G25 E122:G122 D75:G85 D60:G70 D105:G115 B151:F156 D120:D130 D90:G100 D163:D164 D45:G55 D30:G40 D137:D143 D144 D146" xr:uid="{1CB40847-4927-492B-871E-A5C6F226D270}">
      <formula1>"Please do not change these values"</formula1>
    </dataValidation>
  </dataValidations>
  <pageMargins left="0" right="0" top="0" bottom="0" header="0" footer="0"/>
  <pageSetup paperSize="9" orientation="portrait"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D4345-2301-4207-9F68-510B60C05545}">
  <sheetPr codeName="Sheet10">
    <tabColor rgb="FFFF66CC"/>
  </sheetPr>
  <dimension ref="A1:Q68"/>
  <sheetViews>
    <sheetView showGridLines="0" zoomScaleNormal="100" workbookViewId="0">
      <pane xSplit="3" topLeftCell="D1" activePane="topRight" state="frozen"/>
      <selection pane="topRight"/>
    </sheetView>
  </sheetViews>
  <sheetFormatPr defaultColWidth="8.88671875" defaultRowHeight="14.4"/>
  <cols>
    <col min="1" max="1" width="4.5546875" customWidth="1"/>
    <col min="2" max="2" width="32.44140625" customWidth="1"/>
    <col min="3" max="3" width="30.5546875" customWidth="1"/>
    <col min="4" max="4" width="29.5546875" customWidth="1"/>
    <col min="5" max="5" width="15.88671875" customWidth="1"/>
    <col min="6" max="6" width="31.88671875" customWidth="1"/>
    <col min="7" max="7" width="28.5546875" customWidth="1"/>
    <col min="8" max="8" width="30.44140625" customWidth="1"/>
    <col min="9" max="10" width="26.88671875" customWidth="1"/>
    <col min="11" max="11" width="35.109375" customWidth="1"/>
    <col min="12" max="12" width="20.88671875" customWidth="1"/>
    <col min="13" max="13" width="29" customWidth="1"/>
    <col min="15" max="15" width="30.109375" customWidth="1"/>
    <col min="16" max="16" width="28.88671875" customWidth="1"/>
    <col min="17" max="17" width="28.5546875" customWidth="1"/>
  </cols>
  <sheetData>
    <row r="1" spans="1:17" ht="31.2">
      <c r="A1" s="83" t="str">
        <f>IF(AND(Initial_questions!$E$21&lt;&gt;Units!$B$120, Initial_questions!$E$21&lt;&gt;Units!$B$121, Initial_questions!$E$21&lt;&gt;Units!$B$122, Initial_questions!$E$21&lt;&gt;Units!$B$123,Initial_questions!$E$21&lt;&gt;Units!$B$124,Master_Switch="On"),"User should not use this worksheet, but switch to a non-blank GHG summary worksheet","")</f>
        <v>User should not use this worksheet, but switch to a non-blank GHG summary worksheet</v>
      </c>
    </row>
    <row r="3" spans="1:17" s="439" customFormat="1">
      <c r="A3" s="438"/>
      <c r="B3" s="373" t="s">
        <v>945</v>
      </c>
    </row>
    <row r="4" spans="1:17" ht="31.2">
      <c r="A4" s="83"/>
    </row>
    <row r="5" spans="1:17" ht="76.8">
      <c r="B5" s="109" t="s">
        <v>510</v>
      </c>
      <c r="C5" s="109" t="s">
        <v>511</v>
      </c>
      <c r="D5" s="109" t="s">
        <v>512</v>
      </c>
      <c r="E5" s="109" t="s">
        <v>513</v>
      </c>
      <c r="F5" s="109" t="s">
        <v>514</v>
      </c>
      <c r="G5" s="109" t="s">
        <v>515</v>
      </c>
      <c r="H5" s="109" t="s">
        <v>516</v>
      </c>
      <c r="I5" s="109" t="s">
        <v>517</v>
      </c>
      <c r="J5" s="109" t="s">
        <v>518</v>
      </c>
      <c r="K5" s="109" t="s">
        <v>519</v>
      </c>
      <c r="L5" s="109" t="s">
        <v>520</v>
      </c>
      <c r="M5" s="109" t="s">
        <v>521</v>
      </c>
      <c r="O5" s="179" t="s">
        <v>722</v>
      </c>
      <c r="P5" s="179" t="s">
        <v>723</v>
      </c>
      <c r="Q5" s="179" t="s">
        <v>724</v>
      </c>
    </row>
    <row r="6" spans="1:17">
      <c r="B6" s="632" t="s">
        <v>35</v>
      </c>
      <c r="C6" s="96" t="s">
        <v>90</v>
      </c>
      <c r="D6" s="320" t="str">
        <f>IF(Initial_questions!E$97="", IF(Initial_questions!E$95="", "User to enter in Initial Qus", Initial_questions!E$95), Initial_questions!E$97)</f>
        <v>User to enter in Initial Qus</v>
      </c>
      <c r="E6" s="623" t="str">
        <f>Electrolysis!N9</f>
        <v/>
      </c>
      <c r="F6" s="626">
        <v>1</v>
      </c>
      <c r="G6" s="63">
        <f>IF(Electrolysis!$E$103=0,"Pathway not chosen",Electrolysis!S20+Electrolysis!S36)</f>
        <v>0</v>
      </c>
      <c r="H6" s="174">
        <f t="shared" ref="H6:H11" si="0">G6*$F$40</f>
        <v>0</v>
      </c>
      <c r="I6" s="629" t="str">
        <f>Electrolysis!O9</f>
        <v/>
      </c>
      <c r="J6" s="623" t="str">
        <f>I6</f>
        <v/>
      </c>
      <c r="K6" s="62" t="e">
        <f t="shared" ref="K6:K11" si="1">H6*$J$6</f>
        <v>#VALUE!</v>
      </c>
      <c r="L6" s="174" t="str">
        <f>IF(OR(Pathway=Units!$B$120, Pathway=Units!$B$124),'Default data'!$D$39,IF(AND(Pathway=Units!$B$124,Initial_questions!$E$35&lt;&gt;0),'Default data'!$D$39,"Pathway not chosen"))</f>
        <v>Pathway not chosen</v>
      </c>
      <c r="M6" s="321" t="e">
        <f>IF(Electrolysis!$E$103=0,"Pathway not chosen", IF(D6="Default",L6,K6))</f>
        <v>#VALUE!</v>
      </c>
      <c r="O6" s="168" t="str">
        <f>IF(OR(Pathway=Units!$B$120, Pathway=Units!$B$124),'Default data'!E$39,"Pathway not chosen")</f>
        <v>Pathway not chosen</v>
      </c>
      <c r="P6" s="168" t="str">
        <f>IF(OR(Pathway=Units!$B$120, Pathway=Units!$B$124),'Default data'!F$39,"Pathway not chosen")</f>
        <v>Pathway not chosen</v>
      </c>
      <c r="Q6" s="168" t="str">
        <f>IF(OR(Pathway=Units!$B$120, Pathway=Units!$B$124),'Default data'!G$39,"Pathway not chosen")</f>
        <v>Pathway not chosen</v>
      </c>
    </row>
    <row r="7" spans="1:17">
      <c r="B7" s="633"/>
      <c r="C7" s="96" t="s">
        <v>91</v>
      </c>
      <c r="D7" s="320" t="str">
        <f>IF(Initial_questions!E$98="", IF(Initial_questions!E$95="", "User to enter in Initial Qus", Initial_questions!E$95), Initial_questions!E$98)</f>
        <v>User to enter in Initial Qus</v>
      </c>
      <c r="E7" s="624"/>
      <c r="F7" s="627"/>
      <c r="G7" s="63">
        <f>IF(Electrolysis!$E$103=0,"Pathway not chosen",Electrolysis!S49)</f>
        <v>0</v>
      </c>
      <c r="H7" s="174">
        <f t="shared" si="0"/>
        <v>0</v>
      </c>
      <c r="I7" s="630"/>
      <c r="J7" s="624"/>
      <c r="K7" s="62" t="e">
        <f t="shared" si="1"/>
        <v>#VALUE!</v>
      </c>
      <c r="L7" s="174" t="str">
        <f>IF(OR(Pathway=Units!$B$120, Pathway=Units!$B$124),'Default data'!$D$54,IF(AND(Pathway=Units!$B$124,Initial_questions!$E$35&lt;&gt;0),'Default data'!$D$54,"Pathway not chosen"))</f>
        <v>Pathway not chosen</v>
      </c>
      <c r="M7" s="321" t="e">
        <f>IF(Electrolysis!$E$103=0,"Pathway not chosen", IF(D7="Default",L7,K7))</f>
        <v>#VALUE!</v>
      </c>
      <c r="O7" s="168" t="str">
        <f>IF(OR(Pathway=Units!$B$120, Pathway=Units!$B$124),'Default data'!E$54,"Pathway not chosen")</f>
        <v>Pathway not chosen</v>
      </c>
      <c r="P7" s="168" t="str">
        <f>IF(OR(Pathway=Units!$B$120, Pathway=Units!$B$124),'Default data'!F$54,"Pathway not chosen")</f>
        <v>Pathway not chosen</v>
      </c>
      <c r="Q7" s="168" t="str">
        <f>IF(OR(Pathway=Units!$B$120, Pathway=Units!$B$124),'Default data'!G$54,"Pathway not chosen")</f>
        <v>Pathway not chosen</v>
      </c>
    </row>
    <row r="8" spans="1:17">
      <c r="B8" s="633"/>
      <c r="C8" s="96" t="s">
        <v>522</v>
      </c>
      <c r="D8" s="96" t="s">
        <v>523</v>
      </c>
      <c r="E8" s="624"/>
      <c r="F8" s="627"/>
      <c r="G8" s="63">
        <f>IF(Electrolysis!$E$103=0,"Pathway not chosen",Electrolysis!S62)</f>
        <v>0</v>
      </c>
      <c r="H8" s="174">
        <f t="shared" si="0"/>
        <v>0</v>
      </c>
      <c r="I8" s="630"/>
      <c r="J8" s="624"/>
      <c r="K8" s="62" t="e">
        <f t="shared" si="1"/>
        <v>#VALUE!</v>
      </c>
      <c r="L8" s="59" t="s">
        <v>485</v>
      </c>
      <c r="M8" s="321" t="e">
        <f>IF(Electrolysis!$E$103=0,"Pathway not chosen", IF(D8="Default",L8,K8))</f>
        <v>#VALUE!</v>
      </c>
      <c r="O8" s="168" t="str">
        <f>IF(OR(Pathway=Units!$B$120, Pathway=Units!$B$124),'Default data'!E$69,"Pathway not chosen")</f>
        <v>Pathway not chosen</v>
      </c>
      <c r="P8" s="168" t="str">
        <f>IF(OR(Pathway=Units!$B$120, Pathway=Units!$B$124),'Default data'!F$69,"Pathway not chosen")</f>
        <v>Pathway not chosen</v>
      </c>
      <c r="Q8" s="168" t="str">
        <f>IF(OR(Pathway=Units!$B$120, Pathway=Units!$B$124),'Default data'!G$69,"Pathway not chosen")</f>
        <v>Pathway not chosen</v>
      </c>
    </row>
    <row r="9" spans="1:17">
      <c r="B9" s="633"/>
      <c r="C9" s="96" t="s">
        <v>524</v>
      </c>
      <c r="D9" s="96" t="s">
        <v>523</v>
      </c>
      <c r="E9" s="624"/>
      <c r="F9" s="627"/>
      <c r="G9" s="63">
        <f>IF(Electrolysis!$E$103=0,"Pathway not chosen",Electrolysis!S70)</f>
        <v>0</v>
      </c>
      <c r="H9" s="174">
        <f t="shared" si="0"/>
        <v>0</v>
      </c>
      <c r="I9" s="630"/>
      <c r="J9" s="624"/>
      <c r="K9" s="62" t="e">
        <f t="shared" si="1"/>
        <v>#VALUE!</v>
      </c>
      <c r="L9" s="59" t="s">
        <v>485</v>
      </c>
      <c r="M9" s="321" t="e">
        <f>IF(Electrolysis!$E$103=0,"Pathway not chosen", IF(D9="Default",L9,K9))</f>
        <v>#VALUE!</v>
      </c>
      <c r="O9" s="168" t="str">
        <f>IF(OR(Pathway=Units!$B$120, Pathway=Units!$B$124),'Default data'!E$84,"Pathway not chosen")</f>
        <v>Pathway not chosen</v>
      </c>
      <c r="P9" s="168" t="str">
        <f>IF(OR(Pathway=Units!$B$120, Pathway=Units!$B$124),'Default data'!F$84,"Pathway not chosen")</f>
        <v>Pathway not chosen</v>
      </c>
      <c r="Q9" s="168" t="str">
        <f>IF(OR(Pathway=Units!$B$120, Pathway=Units!$B$124),'Default data'!G$84,"Pathway not chosen")</f>
        <v>Pathway not chosen</v>
      </c>
    </row>
    <row r="10" spans="1:17" ht="15.6">
      <c r="B10" s="633"/>
      <c r="C10" s="96" t="s">
        <v>525</v>
      </c>
      <c r="D10" s="96" t="s">
        <v>523</v>
      </c>
      <c r="E10" s="624"/>
      <c r="F10" s="627"/>
      <c r="G10" s="63">
        <f>IF(Electrolysis!$E$103=0,"Pathway not chosen",Electrolysis!S79)</f>
        <v>0</v>
      </c>
      <c r="H10" s="174">
        <f t="shared" si="0"/>
        <v>0</v>
      </c>
      <c r="I10" s="630"/>
      <c r="J10" s="624"/>
      <c r="K10" s="62" t="e">
        <f t="shared" si="1"/>
        <v>#VALUE!</v>
      </c>
      <c r="L10" s="59" t="s">
        <v>485</v>
      </c>
      <c r="M10" s="321" t="e">
        <f>IF(Electrolysis!$E$103=0,"Pathway not chosen", IF(D10="Default",L10,K10))</f>
        <v>#VALUE!</v>
      </c>
      <c r="O10" s="168" t="str">
        <f>IF(OR(Pathway=Units!$B$120, Pathway=Units!$B$124),'Default data'!E$99,"Pathway not chosen")</f>
        <v>Pathway not chosen</v>
      </c>
      <c r="P10" s="168" t="str">
        <f>IF(OR(Pathway=Units!$B$120, Pathway=Units!$B$124),'Default data'!F$99,"Pathway not chosen")</f>
        <v>Pathway not chosen</v>
      </c>
      <c r="Q10" s="168" t="str">
        <f>IF(OR(Pathway=Units!$B$120, Pathway=Units!$B$124),'Default data'!G$99,"Pathway not chosen")</f>
        <v>Pathway not chosen</v>
      </c>
    </row>
    <row r="11" spans="1:17" ht="15.6">
      <c r="B11" s="634"/>
      <c r="C11" s="96" t="s">
        <v>526</v>
      </c>
      <c r="D11" s="96" t="s">
        <v>523</v>
      </c>
      <c r="E11" s="625"/>
      <c r="F11" s="628"/>
      <c r="G11" s="63">
        <f>IF(Electrolysis!$E$103=0,"Pathway not chosen",Electrolysis!S87)</f>
        <v>0</v>
      </c>
      <c r="H11" s="174">
        <f t="shared" si="0"/>
        <v>0</v>
      </c>
      <c r="I11" s="631"/>
      <c r="J11" s="625"/>
      <c r="K11" s="62" t="e">
        <f t="shared" si="1"/>
        <v>#VALUE!</v>
      </c>
      <c r="L11" s="59" t="s">
        <v>485</v>
      </c>
      <c r="M11" s="321" t="e">
        <f>IF(Electrolysis!$E$103=0,"Pathway not chosen", IF(D11="Default",L11,K11))</f>
        <v>#VALUE!</v>
      </c>
      <c r="O11" s="168" t="str">
        <f>IF(OR(Pathway=Units!$B$120, Pathway=Units!$B$124),'Default data'!E$114,"Pathway not chosen")</f>
        <v>Pathway not chosen</v>
      </c>
      <c r="P11" s="168" t="str">
        <f>IF(OR(Pathway=Units!$B$120, Pathway=Units!$B$124),'Default data'!F$114,"Pathway not chosen")</f>
        <v>Pathway not chosen</v>
      </c>
      <c r="Q11" s="168" t="str">
        <f>IF(OR(Pathway=Units!$B$120, Pathway=Units!$B$124),'Default data'!G$114,"Pathway not chosen")</f>
        <v>Pathway not chosen</v>
      </c>
    </row>
    <row r="12" spans="1:17" ht="28.8">
      <c r="B12" s="96" t="s">
        <v>527</v>
      </c>
      <c r="C12" s="635" t="s">
        <v>528</v>
      </c>
      <c r="D12" s="580" t="s">
        <v>957</v>
      </c>
      <c r="L12" s="550" t="str">
        <f>'Default data'!$D$146</f>
        <v>Yet to provide pressure or electricity source</v>
      </c>
      <c r="M12" s="549" t="str">
        <f>IF(Electrolysis!$E$103=0,"Pathway not chosen", L12)</f>
        <v>Yet to provide pressure or electricity source</v>
      </c>
      <c r="O12" s="168" t="s">
        <v>730</v>
      </c>
      <c r="P12" s="168" t="s">
        <v>730</v>
      </c>
      <c r="Q12" s="168" t="s">
        <v>730</v>
      </c>
    </row>
    <row r="13" spans="1:17" ht="28.8">
      <c r="B13" s="96" t="s">
        <v>530</v>
      </c>
      <c r="C13" s="636"/>
      <c r="D13" s="580" t="s">
        <v>958</v>
      </c>
      <c r="L13" s="552" t="str">
        <f>'Default data'!$D$164</f>
        <v>Yet to provide electricity source</v>
      </c>
      <c r="M13" s="549" t="str">
        <f>IF(Electrolysis!$E$103=0,"Pathway not chosen", L13)</f>
        <v>Yet to provide electricity source</v>
      </c>
      <c r="O13" s="168" t="s">
        <v>730</v>
      </c>
      <c r="P13" s="168" t="s">
        <v>730</v>
      </c>
      <c r="Q13" s="168" t="s">
        <v>730</v>
      </c>
    </row>
    <row r="15" spans="1:17" ht="18">
      <c r="B15" s="100" t="s">
        <v>532</v>
      </c>
      <c r="C15" s="65"/>
      <c r="D15" s="65"/>
      <c r="E15" s="102">
        <f>PRODUCT(E6:E13)</f>
        <v>0</v>
      </c>
      <c r="F15" s="28"/>
      <c r="G15" s="28"/>
      <c r="H15" s="28"/>
      <c r="M15" s="105" t="str">
        <f>IF(COUNTIF(M6:M13,"*")&gt;0,"Pathway not chosen",SUM(M6:M13))</f>
        <v>Pathway not chosen</v>
      </c>
      <c r="N15" s="56"/>
      <c r="O15" s="168" t="str">
        <f>IF(OR(Pathway=Units!$B$120, Pathway=Units!$B$124),'Default data'!E$129,"Pathway not chosen")</f>
        <v>Pathway not chosen</v>
      </c>
      <c r="P15" s="168" t="str">
        <f>IF(OR(Pathway=Units!$B$120, Pathway=Units!$B$124),'Default data'!F$129,"Pathway not chosen")</f>
        <v>Pathway not chosen</v>
      </c>
      <c r="Q15" s="168" t="str">
        <f>IF(OR(Pathway=Units!$B$120, Pathway=Units!$B$124),'Default data'!G$129,"Pathway not chosen")</f>
        <v>Pathway not chosen</v>
      </c>
    </row>
    <row r="16" spans="1:17" ht="18">
      <c r="B16" s="100" t="s">
        <v>533</v>
      </c>
      <c r="C16" s="65"/>
      <c r="D16" s="65"/>
      <c r="M16" s="106">
        <v>20</v>
      </c>
      <c r="O16" s="637" t="s">
        <v>944</v>
      </c>
      <c r="P16" s="638"/>
      <c r="Q16" s="639"/>
    </row>
    <row r="17" spans="1:17">
      <c r="O17" s="640"/>
      <c r="P17" s="641"/>
      <c r="Q17" s="642"/>
    </row>
    <row r="18" spans="1:17">
      <c r="O18" s="643"/>
      <c r="P18" s="644"/>
      <c r="Q18" s="645"/>
    </row>
    <row r="20" spans="1:17" s="441" customFormat="1">
      <c r="A20" s="440"/>
      <c r="B20" s="374" t="s">
        <v>534</v>
      </c>
    </row>
    <row r="21" spans="1:17" ht="31.2">
      <c r="A21" s="83"/>
    </row>
    <row r="22" spans="1:17" ht="76.8">
      <c r="B22" s="109" t="s">
        <v>510</v>
      </c>
      <c r="C22" s="109" t="s">
        <v>511</v>
      </c>
      <c r="D22" s="109" t="s">
        <v>512</v>
      </c>
      <c r="E22" s="109" t="s">
        <v>513</v>
      </c>
      <c r="F22" s="109" t="s">
        <v>514</v>
      </c>
      <c r="G22" s="109" t="s">
        <v>515</v>
      </c>
      <c r="H22" s="109" t="s">
        <v>516</v>
      </c>
      <c r="I22" s="109" t="s">
        <v>517</v>
      </c>
      <c r="J22" s="109" t="s">
        <v>518</v>
      </c>
      <c r="K22" s="109" t="s">
        <v>519</v>
      </c>
      <c r="L22" s="109" t="s">
        <v>520</v>
      </c>
      <c r="M22" s="109" t="s">
        <v>521</v>
      </c>
      <c r="O22" s="179" t="s">
        <v>721</v>
      </c>
      <c r="P22" s="179" t="s">
        <v>725</v>
      </c>
      <c r="Q22" s="179" t="s">
        <v>726</v>
      </c>
    </row>
    <row r="23" spans="1:17">
      <c r="B23" s="632" t="s">
        <v>35</v>
      </c>
      <c r="C23" s="96" t="s">
        <v>90</v>
      </c>
      <c r="D23" s="320" t="str">
        <f>IF(Initial_questions!E$97="", IF(Initial_questions!E$95="", "User to enter in Initial Qus", Initial_questions!E$95), Initial_questions!E$97)</f>
        <v>User to enter in Initial Qus</v>
      </c>
      <c r="E23" s="623" t="str">
        <f>Electrolysis!N9</f>
        <v/>
      </c>
      <c r="F23" s="626">
        <v>1</v>
      </c>
      <c r="G23" s="63">
        <f>IF(Electrolysis!$E$104=0,"Pathway not chosen",Electrolysis!S24+Electrolysis!S36)</f>
        <v>0</v>
      </c>
      <c r="H23" s="174">
        <f t="shared" ref="H23:H28" si="2">G23*$F$40</f>
        <v>0</v>
      </c>
      <c r="I23" s="629" t="str">
        <f>Electrolysis!O9</f>
        <v/>
      </c>
      <c r="J23" s="623" t="str">
        <f>I23</f>
        <v/>
      </c>
      <c r="K23" s="62" t="e">
        <f t="shared" ref="K23:K28" si="3">H23*$J$23</f>
        <v>#VALUE!</v>
      </c>
      <c r="L23" s="174" t="str">
        <f>IF(OR(Pathway=Units!$B$121, Pathway=Units!$B$124),'Default data'!$D$40,IF(AND(Pathway=Units!$B$124,Initial_questions!$E$36&lt;&gt;0),'Default data'!$D$40,"Pathway not chosen"))</f>
        <v>Pathway not chosen</v>
      </c>
      <c r="M23" s="321" t="e">
        <f>IF(Electrolysis!$E$104=0,"Pathway not chosen", IF(D23="Default",L23,K23))</f>
        <v>#VALUE!</v>
      </c>
      <c r="O23" s="168" t="str">
        <f>IF(OR(Pathway=Units!$B$121, Pathway=Units!$B$124),'Default data'!E$40,"Pathway not chosen")</f>
        <v>Pathway not chosen</v>
      </c>
      <c r="P23" s="168" t="str">
        <f>IF(OR(Pathway=Units!$B$121, Pathway=Units!$B$124),'Default data'!F$40,"Pathway not chosen")</f>
        <v>Pathway not chosen</v>
      </c>
      <c r="Q23" s="168" t="str">
        <f>IF(OR(Pathway=Units!$B$121, Pathway=Units!$B$124),'Default data'!G$40,"Pathway not chosen")</f>
        <v>Pathway not chosen</v>
      </c>
    </row>
    <row r="24" spans="1:17">
      <c r="B24" s="633"/>
      <c r="C24" s="96" t="s">
        <v>91</v>
      </c>
      <c r="D24" s="320" t="str">
        <f>IF(Initial_questions!E$98="", IF(Initial_questions!E$95="", "User to enter in Initial Qus", Initial_questions!E$95), Initial_questions!E$98)</f>
        <v>User to enter in Initial Qus</v>
      </c>
      <c r="E24" s="624"/>
      <c r="F24" s="627"/>
      <c r="G24" s="63">
        <f>IF(Electrolysis!$E$104=0,"Pathway not chosen",Electrolysis!S49)</f>
        <v>0</v>
      </c>
      <c r="H24" s="174">
        <f t="shared" si="2"/>
        <v>0</v>
      </c>
      <c r="I24" s="630"/>
      <c r="J24" s="624"/>
      <c r="K24" s="62" t="e">
        <f t="shared" si="3"/>
        <v>#VALUE!</v>
      </c>
      <c r="L24" s="174" t="str">
        <f>IF(OR(Pathway=Units!$B$121, Pathway=Units!$B$124),'Default data'!$D$55,IF(AND(Pathway=Units!$B$124,Initial_questions!$E$36&lt;&gt;0),'Default data'!$D$55,"Pathway not chosen"))</f>
        <v>Pathway not chosen</v>
      </c>
      <c r="M24" s="321" t="e">
        <f>IF(Electrolysis!$E$104=0,"Pathway not chosen", IF(D24="Default",L24,K24))</f>
        <v>#VALUE!</v>
      </c>
      <c r="O24" s="168" t="str">
        <f>IF(OR(Pathway=Units!$B$121, Pathway=Units!$B$124),'Default data'!E$55,"Pathway not chosen")</f>
        <v>Pathway not chosen</v>
      </c>
      <c r="P24" s="168" t="str">
        <f>IF(OR(Pathway=Units!$B$121, Pathway=Units!$B$124),'Default data'!F$55,"Pathway not chosen")</f>
        <v>Pathway not chosen</v>
      </c>
      <c r="Q24" s="168" t="str">
        <f>IF(OR(Pathway=Units!$B$121, Pathway=Units!$B$124),'Default data'!G$55,"Pathway not chosen")</f>
        <v>Pathway not chosen</v>
      </c>
    </row>
    <row r="25" spans="1:17">
      <c r="B25" s="633"/>
      <c r="C25" s="96" t="s">
        <v>522</v>
      </c>
      <c r="D25" s="96" t="s">
        <v>523</v>
      </c>
      <c r="E25" s="624"/>
      <c r="F25" s="627"/>
      <c r="G25" s="63">
        <f>IF(Electrolysis!$E$104=0,"Pathway not chosen",Electrolysis!S62)</f>
        <v>0</v>
      </c>
      <c r="H25" s="174">
        <f t="shared" si="2"/>
        <v>0</v>
      </c>
      <c r="I25" s="630"/>
      <c r="J25" s="624"/>
      <c r="K25" s="62" t="e">
        <f t="shared" si="3"/>
        <v>#VALUE!</v>
      </c>
      <c r="L25" s="59" t="s">
        <v>485</v>
      </c>
      <c r="M25" s="321" t="e">
        <f>IF(Electrolysis!$E$104=0,"Pathway not chosen", IF(D25="Default",L25,K25))</f>
        <v>#VALUE!</v>
      </c>
      <c r="O25" s="168" t="str">
        <f>IF(OR(Pathway=Units!$B$121, Pathway=Units!$B$124),'Default data'!E$70,"Pathway not chosen")</f>
        <v>Pathway not chosen</v>
      </c>
      <c r="P25" s="168" t="str">
        <f>IF(OR(Pathway=Units!$B$121, Pathway=Units!$B$124),'Default data'!F$70,"Pathway not chosen")</f>
        <v>Pathway not chosen</v>
      </c>
      <c r="Q25" s="168" t="str">
        <f>IF(OR(Pathway=Units!$B$121, Pathway=Units!$B$124),'Default data'!G$70,"Pathway not chosen")</f>
        <v>Pathway not chosen</v>
      </c>
    </row>
    <row r="26" spans="1:17">
      <c r="B26" s="633"/>
      <c r="C26" s="96" t="s">
        <v>524</v>
      </c>
      <c r="D26" s="96" t="s">
        <v>523</v>
      </c>
      <c r="E26" s="624"/>
      <c r="F26" s="627"/>
      <c r="G26" s="63">
        <f>IF(Electrolysis!$E$104=0,"Pathway not chosen",Electrolysis!S70)</f>
        <v>0</v>
      </c>
      <c r="H26" s="174">
        <f t="shared" si="2"/>
        <v>0</v>
      </c>
      <c r="I26" s="630"/>
      <c r="J26" s="624"/>
      <c r="K26" s="62" t="e">
        <f t="shared" si="3"/>
        <v>#VALUE!</v>
      </c>
      <c r="L26" s="59" t="s">
        <v>485</v>
      </c>
      <c r="M26" s="321" t="e">
        <f>IF(Electrolysis!$E$104=0,"Pathway not chosen", IF(D26="Default",L26,K26))</f>
        <v>#VALUE!</v>
      </c>
      <c r="O26" s="168" t="str">
        <f>IF(OR(Pathway=Units!$B$121, Pathway=Units!$B$124),'Default data'!E$85,"Pathway not chosen")</f>
        <v>Pathway not chosen</v>
      </c>
      <c r="P26" s="168" t="str">
        <f>IF(OR(Pathway=Units!$B$121, Pathway=Units!$B$124),'Default data'!F$85,"Pathway not chosen")</f>
        <v>Pathway not chosen</v>
      </c>
      <c r="Q26" s="168" t="str">
        <f>IF(OR(Pathway=Units!$B$121, Pathway=Units!$B$124),'Default data'!G$85,"Pathway not chosen")</f>
        <v>Pathway not chosen</v>
      </c>
    </row>
    <row r="27" spans="1:17" ht="15.6">
      <c r="B27" s="633"/>
      <c r="C27" s="96" t="s">
        <v>525</v>
      </c>
      <c r="D27" s="96" t="s">
        <v>523</v>
      </c>
      <c r="E27" s="624"/>
      <c r="F27" s="627"/>
      <c r="G27" s="63">
        <f>IF(Electrolysis!$E$104=0,"Pathway not chosen",Electrolysis!S79)</f>
        <v>0</v>
      </c>
      <c r="H27" s="174">
        <f t="shared" si="2"/>
        <v>0</v>
      </c>
      <c r="I27" s="630"/>
      <c r="J27" s="624"/>
      <c r="K27" s="62" t="e">
        <f t="shared" si="3"/>
        <v>#VALUE!</v>
      </c>
      <c r="L27" s="59" t="s">
        <v>485</v>
      </c>
      <c r="M27" s="321" t="e">
        <f>IF(Electrolysis!$E$104=0,"Pathway not chosen", IF(D27="Default",L27,K27))</f>
        <v>#VALUE!</v>
      </c>
      <c r="O27" s="168" t="str">
        <f>IF(OR(Pathway=Units!$B$121, Pathway=Units!$B$124),'Default data'!E$100,"Pathway not chosen")</f>
        <v>Pathway not chosen</v>
      </c>
      <c r="P27" s="168" t="str">
        <f>IF(OR(Pathway=Units!$B$121, Pathway=Units!$B$124),'Default data'!F$100,"Pathway not chosen")</f>
        <v>Pathway not chosen</v>
      </c>
      <c r="Q27" s="168" t="str">
        <f>IF(OR(Pathway=Units!$B$121, Pathway=Units!$B$124),'Default data'!G$100,"Pathway not chosen")</f>
        <v>Pathway not chosen</v>
      </c>
    </row>
    <row r="28" spans="1:17" ht="15.6">
      <c r="B28" s="634"/>
      <c r="C28" s="96" t="s">
        <v>526</v>
      </c>
      <c r="D28" s="96" t="s">
        <v>523</v>
      </c>
      <c r="E28" s="625"/>
      <c r="F28" s="628"/>
      <c r="G28" s="63">
        <f>IF(Electrolysis!$E$104=0,"Pathway not chosen",Electrolysis!S87)</f>
        <v>0</v>
      </c>
      <c r="H28" s="174">
        <f t="shared" si="2"/>
        <v>0</v>
      </c>
      <c r="I28" s="631"/>
      <c r="J28" s="625"/>
      <c r="K28" s="62" t="e">
        <f t="shared" si="3"/>
        <v>#VALUE!</v>
      </c>
      <c r="L28" s="59" t="s">
        <v>485</v>
      </c>
      <c r="M28" s="321" t="e">
        <f>IF(Electrolysis!$E$104=0,"Pathway not chosen", IF(D28="Default",L28,K28))</f>
        <v>#VALUE!</v>
      </c>
      <c r="O28" s="168" t="str">
        <f>IF(OR(Pathway=Units!$B$121, Pathway=Units!$B$124),'Default data'!E$115,"Pathway not chosen")</f>
        <v>Pathway not chosen</v>
      </c>
      <c r="P28" s="168" t="str">
        <f>IF(OR(Pathway=Units!$B$121, Pathway=Units!$B$124),'Default data'!F$115,"Pathway not chosen")</f>
        <v>Pathway not chosen</v>
      </c>
      <c r="Q28" s="168" t="str">
        <f>IF(OR(Pathway=Units!$B$121, Pathway=Units!$B$124),'Default data'!G$115,"Pathway not chosen")</f>
        <v>Pathway not chosen</v>
      </c>
    </row>
    <row r="29" spans="1:17" ht="28.8">
      <c r="B29" s="96" t="s">
        <v>527</v>
      </c>
      <c r="C29" s="635" t="s">
        <v>528</v>
      </c>
      <c r="D29" s="580" t="s">
        <v>957</v>
      </c>
      <c r="L29" s="550" t="str">
        <f>'Default data'!$D$146</f>
        <v>Yet to provide pressure or electricity source</v>
      </c>
      <c r="M29" s="549" t="str">
        <f>IF(Electrolysis!$E$104=0,"Pathway not chosen", L29)</f>
        <v>Yet to provide pressure or electricity source</v>
      </c>
      <c r="O29" s="168" t="s">
        <v>730</v>
      </c>
      <c r="P29" s="168" t="s">
        <v>730</v>
      </c>
      <c r="Q29" s="168" t="s">
        <v>730</v>
      </c>
    </row>
    <row r="30" spans="1:17" ht="28.8">
      <c r="B30" s="96" t="s">
        <v>530</v>
      </c>
      <c r="C30" s="636"/>
      <c r="D30" s="580" t="s">
        <v>958</v>
      </c>
      <c r="L30" s="552" t="str">
        <f>'Default data'!$D$164</f>
        <v>Yet to provide electricity source</v>
      </c>
      <c r="M30" s="549" t="str">
        <f>IF(Electrolysis!$E$104=0,"Pathway not chosen", L30)</f>
        <v>Yet to provide electricity source</v>
      </c>
      <c r="O30" s="168" t="s">
        <v>730</v>
      </c>
      <c r="P30" s="168" t="s">
        <v>730</v>
      </c>
      <c r="Q30" s="168" t="s">
        <v>730</v>
      </c>
    </row>
    <row r="32" spans="1:17" ht="18">
      <c r="B32" s="100" t="s">
        <v>532</v>
      </c>
      <c r="C32" s="65"/>
      <c r="D32" s="65"/>
      <c r="E32" s="102">
        <f>PRODUCT(E23:E30)</f>
        <v>0</v>
      </c>
      <c r="F32" s="28"/>
      <c r="G32" s="28"/>
      <c r="H32" s="28"/>
      <c r="M32" s="105" t="str">
        <f>IF(COUNTIF(M23:M30,"*")&gt;0,"Pathway not chosen",SUM(M23:M30))</f>
        <v>Pathway not chosen</v>
      </c>
      <c r="N32" s="56"/>
      <c r="O32" s="168" t="str">
        <f>IF(OR(Pathway=Units!$B$121, Pathway=Units!$B$124),'Default data'!E$130,"Pathway not chosen")</f>
        <v>Pathway not chosen</v>
      </c>
      <c r="P32" s="168" t="str">
        <f>IF(OR(Pathway=Units!$B$121, Pathway=Units!$B$124),'Default data'!F$130,"Pathway not chosen")</f>
        <v>Pathway not chosen</v>
      </c>
      <c r="Q32" s="168" t="str">
        <f>IF(OR(Pathway=Units!$B$121, Pathway=Units!$B$124),'Default data'!G$130,"Pathway not chosen")</f>
        <v>Pathway not chosen</v>
      </c>
    </row>
    <row r="33" spans="1:17" ht="18">
      <c r="B33" s="100" t="s">
        <v>533</v>
      </c>
      <c r="C33" s="65"/>
      <c r="D33" s="65"/>
      <c r="M33" s="106">
        <v>20</v>
      </c>
      <c r="O33" s="637" t="s">
        <v>535</v>
      </c>
      <c r="P33" s="638"/>
      <c r="Q33" s="639"/>
    </row>
    <row r="34" spans="1:17">
      <c r="O34" s="640"/>
      <c r="P34" s="641"/>
      <c r="Q34" s="642"/>
    </row>
    <row r="35" spans="1:17">
      <c r="O35" s="643"/>
      <c r="P35" s="644"/>
      <c r="Q35" s="645"/>
    </row>
    <row r="37" spans="1:17" s="282" customFormat="1">
      <c r="A37" s="443"/>
      <c r="B37" s="166" t="s">
        <v>536</v>
      </c>
    </row>
    <row r="38" spans="1:17" ht="31.2">
      <c r="A38" s="83"/>
    </row>
    <row r="39" spans="1:17" ht="84.6" customHeight="1">
      <c r="B39" s="109" t="s">
        <v>510</v>
      </c>
      <c r="C39" s="109" t="s">
        <v>511</v>
      </c>
      <c r="D39" s="109" t="s">
        <v>512</v>
      </c>
      <c r="E39" s="109" t="s">
        <v>513</v>
      </c>
      <c r="F39" s="109" t="s">
        <v>514</v>
      </c>
      <c r="G39" s="109" t="s">
        <v>515</v>
      </c>
      <c r="H39" s="109" t="s">
        <v>516</v>
      </c>
      <c r="I39" s="109" t="s">
        <v>517</v>
      </c>
      <c r="J39" s="109" t="s">
        <v>518</v>
      </c>
      <c r="K39" s="109" t="s">
        <v>519</v>
      </c>
      <c r="L39" s="109" t="s">
        <v>520</v>
      </c>
      <c r="M39" s="109" t="s">
        <v>521</v>
      </c>
      <c r="O39" s="179" t="s">
        <v>727</v>
      </c>
      <c r="P39" s="179" t="s">
        <v>728</v>
      </c>
      <c r="Q39" s="179" t="s">
        <v>729</v>
      </c>
    </row>
    <row r="40" spans="1:17">
      <c r="B40" s="620" t="s">
        <v>35</v>
      </c>
      <c r="C40" s="64" t="s">
        <v>90</v>
      </c>
      <c r="D40" s="320" t="str">
        <f>IF(Initial_questions!E$97="", IF(Initial_questions!E$95="", "User to enter in Initial Qus", Initial_questions!E$95), Initial_questions!E$97)</f>
        <v>User to enter in Initial Qus</v>
      </c>
      <c r="E40" s="623" t="str">
        <f>Electrolysis!N9</f>
        <v/>
      </c>
      <c r="F40" s="626">
        <v>1</v>
      </c>
      <c r="G40" s="63">
        <f>IF(Electrolysis!$E$105=0,"Pathway not chosen",Electrolysis!S28+Electrolysis!S36)</f>
        <v>0</v>
      </c>
      <c r="H40" s="174">
        <f t="shared" ref="H40:H45" si="4">G40*$F$40</f>
        <v>0</v>
      </c>
      <c r="I40" s="629" t="str">
        <f>Electrolysis!O9</f>
        <v/>
      </c>
      <c r="J40" s="623" t="str">
        <f>I40</f>
        <v/>
      </c>
      <c r="K40" s="62" t="e">
        <f t="shared" ref="K40:K45" si="5">H40*$J$40</f>
        <v>#VALUE!</v>
      </c>
      <c r="L40" s="174" t="str">
        <f>IF(OR(Pathway=Units!$B$122, Pathway=Units!$B$124),'Default data'!$D$38,IF(AND(Pathway=Units!$B$124,Initial_questions!$E$37&lt;&gt;0),'Default data'!$D$38,"Pathway not chosen"))</f>
        <v>Pathway not chosen</v>
      </c>
      <c r="M40" s="321" t="e">
        <f>IF(Electrolysis!$E$105=0,"Pathway not chosen",IF(D40="Default",L40,K40))</f>
        <v>#VALUE!</v>
      </c>
      <c r="O40" s="168" t="str">
        <f>IF(OR(Pathway=Units!$B$122, Pathway=Units!$B$124),'Default data'!E$38,"Pathway not chosen")</f>
        <v>Pathway not chosen</v>
      </c>
      <c r="P40" s="168" t="str">
        <f>IF(OR(Pathway=Units!$B$122, Pathway=Units!$B$124),'Default data'!F$38,"Pathway not chosen")</f>
        <v>Pathway not chosen</v>
      </c>
      <c r="Q40" s="168" t="str">
        <f>IF(OR(Pathway=Units!$B$122, Pathway=Units!$B$124),'Default data'!G$38,"Pathway not chosen")</f>
        <v>Pathway not chosen</v>
      </c>
    </row>
    <row r="41" spans="1:17">
      <c r="B41" s="621"/>
      <c r="C41" s="64" t="s">
        <v>91</v>
      </c>
      <c r="D41" s="320" t="str">
        <f>IF(Initial_questions!E$98="", IF(Initial_questions!E$95="", "User to enter in Initial Qus", Initial_questions!E$95), Initial_questions!E$98)</f>
        <v>User to enter in Initial Qus</v>
      </c>
      <c r="E41" s="624"/>
      <c r="F41" s="627"/>
      <c r="G41" s="63">
        <f>IF(Electrolysis!$E$105=0,"Pathway not chosen",Electrolysis!S49)</f>
        <v>0</v>
      </c>
      <c r="H41" s="174">
        <f t="shared" si="4"/>
        <v>0</v>
      </c>
      <c r="I41" s="630"/>
      <c r="J41" s="624"/>
      <c r="K41" s="62" t="e">
        <f t="shared" si="5"/>
        <v>#VALUE!</v>
      </c>
      <c r="L41" s="174" t="str">
        <f>IF(OR(Pathway=Units!$B$122, Pathway=Units!$B$124),'Default data'!$D$53,IF(AND(Pathway=Units!$B$124,Initial_questions!$E$37&lt;&gt;0),'Default data'!$D$53,"Pathway not chosen"))</f>
        <v>Pathway not chosen</v>
      </c>
      <c r="M41" s="321" t="e">
        <f>IF(Electrolysis!$E$105=0,"Pathway not chosen",IF(D41="Default",L41,K41))</f>
        <v>#VALUE!</v>
      </c>
      <c r="O41" s="168" t="str">
        <f>IF(OR(Pathway=Units!$B$122, Pathway=Units!$B$124),'Default data'!E$53,"Pathway not chosen")</f>
        <v>Pathway not chosen</v>
      </c>
      <c r="P41" s="168" t="str">
        <f>IF(OR(Pathway=Units!$B$122, Pathway=Units!$B$124),'Default data'!F$53,"Pathway not chosen")</f>
        <v>Pathway not chosen</v>
      </c>
      <c r="Q41" s="168" t="str">
        <f>IF(OR(Pathway=Units!$B$122, Pathway=Units!$B$124),'Default data'!G$53,"Pathway not chosen")</f>
        <v>Pathway not chosen</v>
      </c>
    </row>
    <row r="42" spans="1:17">
      <c r="B42" s="621"/>
      <c r="C42" s="64" t="s">
        <v>522</v>
      </c>
      <c r="D42" s="64" t="s">
        <v>523</v>
      </c>
      <c r="E42" s="624"/>
      <c r="F42" s="627"/>
      <c r="G42" s="63">
        <f>IF(Electrolysis!$E$105=0,"Pathway not chosen",Electrolysis!S62)</f>
        <v>0</v>
      </c>
      <c r="H42" s="174">
        <f t="shared" si="4"/>
        <v>0</v>
      </c>
      <c r="I42" s="630"/>
      <c r="J42" s="624"/>
      <c r="K42" s="62" t="e">
        <f t="shared" si="5"/>
        <v>#VALUE!</v>
      </c>
      <c r="L42" s="59" t="s">
        <v>485</v>
      </c>
      <c r="M42" s="321" t="e">
        <f>IF(Electrolysis!$E$105=0,"Pathway not chosen",IF(D42="Default",L42,K42))</f>
        <v>#VALUE!</v>
      </c>
      <c r="O42" s="168" t="str">
        <f>IF(OR(Pathway=Units!$B$122, Pathway=Units!$B$124),'Default data'!E$68,"Pathway not chosen")</f>
        <v>Pathway not chosen</v>
      </c>
      <c r="P42" s="168" t="str">
        <f>IF(OR(Pathway=Units!$B$122, Pathway=Units!$B$124),'Default data'!F$68,"Pathway not chosen")</f>
        <v>Pathway not chosen</v>
      </c>
      <c r="Q42" s="168" t="str">
        <f>IF(OR(Pathway=Units!$B$122, Pathway=Units!$B$124),'Default data'!G$68,"Pathway not chosen")</f>
        <v>Pathway not chosen</v>
      </c>
    </row>
    <row r="43" spans="1:17">
      <c r="B43" s="621"/>
      <c r="C43" s="64" t="s">
        <v>524</v>
      </c>
      <c r="D43" s="64" t="s">
        <v>523</v>
      </c>
      <c r="E43" s="624"/>
      <c r="F43" s="627"/>
      <c r="G43" s="63">
        <f>IF(Electrolysis!$E$105=0,"Pathway not chosen",Electrolysis!S70)</f>
        <v>0</v>
      </c>
      <c r="H43" s="174">
        <f t="shared" si="4"/>
        <v>0</v>
      </c>
      <c r="I43" s="630"/>
      <c r="J43" s="624"/>
      <c r="K43" s="62" t="e">
        <f t="shared" si="5"/>
        <v>#VALUE!</v>
      </c>
      <c r="L43" s="59" t="s">
        <v>485</v>
      </c>
      <c r="M43" s="321" t="e">
        <f>IF(Electrolysis!$E$105=0,"Pathway not chosen",IF(D43="Default",L43,K43))</f>
        <v>#VALUE!</v>
      </c>
      <c r="O43" s="168" t="str">
        <f>IF(OR(Pathway=Units!$B$122, Pathway=Units!$B$124),'Default data'!E$83,"Pathway not chosen")</f>
        <v>Pathway not chosen</v>
      </c>
      <c r="P43" s="168" t="str">
        <f>IF(OR(Pathway=Units!$B$122, Pathway=Units!$B$124),'Default data'!F$83,"Pathway not chosen")</f>
        <v>Pathway not chosen</v>
      </c>
      <c r="Q43" s="168" t="str">
        <f>IF(OR(Pathway=Units!$B$122, Pathway=Units!$B$124),'Default data'!G$83,"Pathway not chosen")</f>
        <v>Pathway not chosen</v>
      </c>
    </row>
    <row r="44" spans="1:17" ht="15.6">
      <c r="B44" s="621"/>
      <c r="C44" s="64" t="s">
        <v>525</v>
      </c>
      <c r="D44" s="64" t="s">
        <v>523</v>
      </c>
      <c r="E44" s="624"/>
      <c r="F44" s="627"/>
      <c r="G44" s="63">
        <f>IF(Electrolysis!$E$105=0,"Pathway not chosen",Electrolysis!S79)</f>
        <v>0</v>
      </c>
      <c r="H44" s="174">
        <f t="shared" si="4"/>
        <v>0</v>
      </c>
      <c r="I44" s="630"/>
      <c r="J44" s="624"/>
      <c r="K44" s="62" t="e">
        <f t="shared" si="5"/>
        <v>#VALUE!</v>
      </c>
      <c r="L44" s="59" t="s">
        <v>485</v>
      </c>
      <c r="M44" s="321" t="e">
        <f>IF(Electrolysis!$E$105=0,"Pathway not chosen",IF(D44="Default",L44,K44))</f>
        <v>#VALUE!</v>
      </c>
      <c r="O44" s="168" t="str">
        <f>IF(OR(Pathway=Units!$B$122, Pathway=Units!$B$124),'Default data'!E$98,"Pathway not chosen")</f>
        <v>Pathway not chosen</v>
      </c>
      <c r="P44" s="168" t="str">
        <f>IF(OR(Pathway=Units!$B$122, Pathway=Units!$B$124),'Default data'!F$98,"Pathway not chosen")</f>
        <v>Pathway not chosen</v>
      </c>
      <c r="Q44" s="168" t="str">
        <f>IF(OR(Pathway=Units!$B$122, Pathway=Units!$B$124),'Default data'!G$98,"Pathway not chosen")</f>
        <v>Pathway not chosen</v>
      </c>
    </row>
    <row r="45" spans="1:17" ht="15.6">
      <c r="B45" s="622"/>
      <c r="C45" s="64" t="s">
        <v>526</v>
      </c>
      <c r="D45" s="64" t="s">
        <v>523</v>
      </c>
      <c r="E45" s="625"/>
      <c r="F45" s="628"/>
      <c r="G45" s="63">
        <f>IF(Electrolysis!$E$105=0,"Pathway not chosen",Electrolysis!S87)</f>
        <v>0</v>
      </c>
      <c r="H45" s="174">
        <f t="shared" si="4"/>
        <v>0</v>
      </c>
      <c r="I45" s="631"/>
      <c r="J45" s="625"/>
      <c r="K45" s="62" t="e">
        <f t="shared" si="5"/>
        <v>#VALUE!</v>
      </c>
      <c r="L45" s="59" t="s">
        <v>485</v>
      </c>
      <c r="M45" s="321" t="e">
        <f>IF(Electrolysis!$E$105=0,"Pathway not chosen",IF(D45="Default",L45,K45))</f>
        <v>#VALUE!</v>
      </c>
      <c r="O45" s="168" t="str">
        <f>IF(OR(Pathway=Units!$B$122, Pathway=Units!$B$124),'Default data'!E$113,"Pathway not chosen")</f>
        <v>Pathway not chosen</v>
      </c>
      <c r="P45" s="168" t="str">
        <f>IF(OR(Pathway=Units!$B$122, Pathway=Units!$B$124),'Default data'!F$113,"Pathway not chosen")</f>
        <v>Pathway not chosen</v>
      </c>
      <c r="Q45" s="168" t="str">
        <f>IF(OR(Pathway=Units!$B$122, Pathway=Units!$B$124),'Default data'!G$113,"Pathway not chosen")</f>
        <v>Pathway not chosen</v>
      </c>
    </row>
    <row r="46" spans="1:17" ht="28.8">
      <c r="B46" s="64" t="s">
        <v>527</v>
      </c>
      <c r="C46" s="635" t="s">
        <v>528</v>
      </c>
      <c r="D46" s="579" t="s">
        <v>957</v>
      </c>
      <c r="L46" s="550" t="str">
        <f>'Default data'!$D$146</f>
        <v>Yet to provide pressure or electricity source</v>
      </c>
      <c r="M46" s="549" t="str">
        <f>IF(Electrolysis!$E$105=0,"Pathway not chosen",L46)</f>
        <v>Yet to provide pressure or electricity source</v>
      </c>
      <c r="O46" s="168" t="s">
        <v>730</v>
      </c>
      <c r="P46" s="168" t="s">
        <v>730</v>
      </c>
      <c r="Q46" s="168" t="s">
        <v>730</v>
      </c>
    </row>
    <row r="47" spans="1:17" ht="28.8">
      <c r="B47" s="64" t="s">
        <v>530</v>
      </c>
      <c r="C47" s="636"/>
      <c r="D47" s="579" t="s">
        <v>958</v>
      </c>
      <c r="L47" s="552" t="str">
        <f>'Default data'!$D$164</f>
        <v>Yet to provide electricity source</v>
      </c>
      <c r="M47" s="549" t="str">
        <f>IF(Electrolysis!$E$105=0,"Pathway not chosen",L47)</f>
        <v>Yet to provide electricity source</v>
      </c>
      <c r="O47" s="168" t="s">
        <v>730</v>
      </c>
      <c r="P47" s="168" t="s">
        <v>730</v>
      </c>
      <c r="Q47" s="168" t="s">
        <v>730</v>
      </c>
    </row>
    <row r="49" spans="1:17" ht="18">
      <c r="B49" s="100" t="s">
        <v>532</v>
      </c>
      <c r="C49" s="65"/>
      <c r="D49" s="65"/>
      <c r="E49" s="102">
        <f>PRODUCT(E40:E47)</f>
        <v>0</v>
      </c>
      <c r="F49" s="28"/>
      <c r="G49" s="28"/>
      <c r="H49" s="28"/>
      <c r="M49" s="105" t="str">
        <f>IF(COUNTIF(M40:M47,"*")&gt;0,"Pathway not chosen",SUM(M40:M47))</f>
        <v>Pathway not chosen</v>
      </c>
      <c r="N49" s="56"/>
      <c r="O49" s="168" t="str">
        <f>IF(OR(Pathway=Units!$B$122, Pathway=Units!$B$124),'Default data'!E$128,"Pathway not chosen")</f>
        <v>Pathway not chosen</v>
      </c>
      <c r="P49" s="168" t="str">
        <f>IF(OR(Pathway=Units!$B$122, Pathway=Units!$B$124),'Default data'!F$128,"Pathway not chosen")</f>
        <v>Pathway not chosen</v>
      </c>
      <c r="Q49" s="168" t="str">
        <f>IF(OR(Pathway=Units!$B$122, Pathway=Units!$B$124),'Default data'!G$128,"Pathway not chosen")</f>
        <v>Pathway not chosen</v>
      </c>
    </row>
    <row r="50" spans="1:17" ht="18">
      <c r="B50" s="100" t="s">
        <v>533</v>
      </c>
      <c r="C50" s="65"/>
      <c r="D50" s="65"/>
      <c r="M50" s="106">
        <v>20</v>
      </c>
      <c r="O50" s="637" t="s">
        <v>537</v>
      </c>
      <c r="P50" s="638"/>
      <c r="Q50" s="639"/>
    </row>
    <row r="51" spans="1:17">
      <c r="O51" s="640"/>
      <c r="P51" s="641"/>
      <c r="Q51" s="642"/>
    </row>
    <row r="52" spans="1:17">
      <c r="O52" s="643"/>
      <c r="P52" s="644"/>
      <c r="Q52" s="645"/>
    </row>
    <row r="55" spans="1:17" s="285" customFormat="1">
      <c r="A55" s="442"/>
      <c r="B55" s="284" t="s">
        <v>538</v>
      </c>
    </row>
    <row r="56" spans="1:17" ht="31.2">
      <c r="A56" s="83"/>
    </row>
    <row r="57" spans="1:17" ht="76.8">
      <c r="B57" s="109" t="s">
        <v>510</v>
      </c>
      <c r="C57" s="109" t="s">
        <v>511</v>
      </c>
      <c r="D57" s="109" t="s">
        <v>512</v>
      </c>
      <c r="E57" s="109" t="s">
        <v>513</v>
      </c>
      <c r="F57" s="109" t="s">
        <v>514</v>
      </c>
      <c r="G57" s="109" t="s">
        <v>515</v>
      </c>
      <c r="H57" s="109" t="s">
        <v>516</v>
      </c>
      <c r="I57" s="109" t="s">
        <v>517</v>
      </c>
      <c r="J57" s="109" t="s">
        <v>518</v>
      </c>
      <c r="K57" s="109" t="s">
        <v>519</v>
      </c>
      <c r="L57" s="109" t="s">
        <v>520</v>
      </c>
      <c r="M57" s="109" t="s">
        <v>521</v>
      </c>
      <c r="O57" s="376"/>
      <c r="P57" s="376"/>
      <c r="Q57" s="376"/>
    </row>
    <row r="58" spans="1:17">
      <c r="B58" s="632" t="s">
        <v>35</v>
      </c>
      <c r="C58" s="96" t="s">
        <v>90</v>
      </c>
      <c r="D58" s="96" t="s">
        <v>523</v>
      </c>
      <c r="E58" s="623" t="str">
        <f>Electrolysis!N9</f>
        <v/>
      </c>
      <c r="F58" s="626">
        <v>1</v>
      </c>
      <c r="G58" s="63">
        <f>IF(Electrolysis!$E$106=0,"Pathway not chosen",Electrolysis!S32+Electrolysis!S36)</f>
        <v>0</v>
      </c>
      <c r="H58" s="174">
        <f t="shared" ref="H58:H63" si="6">G58*$F$40</f>
        <v>0</v>
      </c>
      <c r="I58" s="629" t="str">
        <f>Electrolysis!O9</f>
        <v/>
      </c>
      <c r="J58" s="623" t="str">
        <f>I58</f>
        <v/>
      </c>
      <c r="K58" s="62" t="e">
        <f t="shared" ref="K58:K63" si="7">H58*$J$58</f>
        <v>#VALUE!</v>
      </c>
      <c r="L58" s="59" t="s">
        <v>485</v>
      </c>
      <c r="M58" s="321" t="e">
        <f>IF(Electrolysis!$E$106=0,"Pathway not chosen",IF(D58="Default",L58,K58))</f>
        <v>#VALUE!</v>
      </c>
      <c r="O58" s="377"/>
      <c r="P58" s="377"/>
      <c r="Q58" s="377"/>
    </row>
    <row r="59" spans="1:17">
      <c r="B59" s="633"/>
      <c r="C59" s="96" t="s">
        <v>91</v>
      </c>
      <c r="D59" s="320" t="str">
        <f>IF(Initial_questions!E$98="", IF(Initial_questions!E$95="", "User to enter in Initial Qus", Initial_questions!E$95), Initial_questions!E$98)</f>
        <v>User to enter in Initial Qus</v>
      </c>
      <c r="E59" s="624"/>
      <c r="F59" s="627"/>
      <c r="G59" s="63">
        <f>IF(Electrolysis!$E$106=0,"Pathway not chosen",Electrolysis!S49)</f>
        <v>0</v>
      </c>
      <c r="H59" s="174">
        <f t="shared" si="6"/>
        <v>0</v>
      </c>
      <c r="I59" s="630"/>
      <c r="J59" s="624"/>
      <c r="K59" s="62" t="e">
        <f t="shared" si="7"/>
        <v>#VALUE!</v>
      </c>
      <c r="L59" s="62" t="str" cm="1">
        <f t="array" ref="L59">IF(OR(Pathway=Units!$B$123:$B$124),'Default data'!$D$54,"Pathway not chosen")</f>
        <v>Pathway not chosen</v>
      </c>
      <c r="M59" s="321" t="e">
        <f>IF(Electrolysis!$E$106=0,"Pathway not chosen",IF(D59="Default",L59,K59))</f>
        <v>#VALUE!</v>
      </c>
      <c r="O59" s="377"/>
      <c r="P59" s="377"/>
      <c r="Q59" s="377"/>
    </row>
    <row r="60" spans="1:17">
      <c r="B60" s="633"/>
      <c r="C60" s="96" t="s">
        <v>522</v>
      </c>
      <c r="D60" s="96" t="s">
        <v>523</v>
      </c>
      <c r="E60" s="624"/>
      <c r="F60" s="627"/>
      <c r="G60" s="63">
        <f>IF(Electrolysis!$E$106=0,"Pathway not chosen",Electrolysis!S62)</f>
        <v>0</v>
      </c>
      <c r="H60" s="174">
        <f t="shared" si="6"/>
        <v>0</v>
      </c>
      <c r="I60" s="630"/>
      <c r="J60" s="624"/>
      <c r="K60" s="62" t="e">
        <f t="shared" si="7"/>
        <v>#VALUE!</v>
      </c>
      <c r="L60" s="59" t="s">
        <v>485</v>
      </c>
      <c r="M60" s="321" t="e">
        <f>IF(Electrolysis!$E$106=0,"Pathway not chosen",IF(D60="Default",L60,K60))</f>
        <v>#VALUE!</v>
      </c>
      <c r="O60" s="377"/>
      <c r="P60" s="377"/>
      <c r="Q60" s="377"/>
    </row>
    <row r="61" spans="1:17">
      <c r="B61" s="633"/>
      <c r="C61" s="96" t="s">
        <v>524</v>
      </c>
      <c r="D61" s="96" t="s">
        <v>523</v>
      </c>
      <c r="E61" s="624"/>
      <c r="F61" s="627"/>
      <c r="G61" s="63">
        <f>IF(Electrolysis!$E$106=0,"Pathway not chosen",Electrolysis!S70)</f>
        <v>0</v>
      </c>
      <c r="H61" s="174">
        <f t="shared" si="6"/>
        <v>0</v>
      </c>
      <c r="I61" s="630"/>
      <c r="J61" s="624"/>
      <c r="K61" s="62" t="e">
        <f t="shared" si="7"/>
        <v>#VALUE!</v>
      </c>
      <c r="L61" s="59" t="s">
        <v>485</v>
      </c>
      <c r="M61" s="321" t="e">
        <f>IF(Electrolysis!$E$106=0,"Pathway not chosen",IF(D61="Default",L61,K61))</f>
        <v>#VALUE!</v>
      </c>
      <c r="O61" s="377"/>
      <c r="P61" s="377"/>
      <c r="Q61" s="377"/>
    </row>
    <row r="62" spans="1:17" ht="15.6">
      <c r="B62" s="633"/>
      <c r="C62" s="96" t="s">
        <v>525</v>
      </c>
      <c r="D62" s="96" t="s">
        <v>523</v>
      </c>
      <c r="E62" s="624"/>
      <c r="F62" s="627"/>
      <c r="G62" s="63">
        <f>IF(Electrolysis!$E$106=0,"Pathway not chosen",Electrolysis!S79)</f>
        <v>0</v>
      </c>
      <c r="H62" s="174">
        <f t="shared" si="6"/>
        <v>0</v>
      </c>
      <c r="I62" s="630"/>
      <c r="J62" s="624"/>
      <c r="K62" s="62" t="e">
        <f t="shared" si="7"/>
        <v>#VALUE!</v>
      </c>
      <c r="L62" s="59" t="s">
        <v>485</v>
      </c>
      <c r="M62" s="321" t="e">
        <f>IF(Electrolysis!$E$106=0,"Pathway not chosen",IF(D62="Default",L62,K62))</f>
        <v>#VALUE!</v>
      </c>
      <c r="O62" s="377"/>
      <c r="P62" s="377"/>
      <c r="Q62" s="377"/>
    </row>
    <row r="63" spans="1:17" ht="15.6">
      <c r="B63" s="634"/>
      <c r="C63" s="96" t="s">
        <v>526</v>
      </c>
      <c r="D63" s="96" t="s">
        <v>523</v>
      </c>
      <c r="E63" s="625"/>
      <c r="F63" s="628"/>
      <c r="G63" s="63">
        <f>IF(Electrolysis!$E$106=0,"Pathway not chosen",Electrolysis!S87)</f>
        <v>0</v>
      </c>
      <c r="H63" s="174">
        <f t="shared" si="6"/>
        <v>0</v>
      </c>
      <c r="I63" s="631"/>
      <c r="J63" s="625"/>
      <c r="K63" s="62" t="e">
        <f t="shared" si="7"/>
        <v>#VALUE!</v>
      </c>
      <c r="L63" s="59" t="s">
        <v>485</v>
      </c>
      <c r="M63" s="321" t="e">
        <f>IF(Electrolysis!$E$106=0,"Pathway not chosen",IF(D63="Default",L63,K63))</f>
        <v>#VALUE!</v>
      </c>
      <c r="O63" s="377"/>
      <c r="P63" s="377"/>
      <c r="Q63" s="377"/>
    </row>
    <row r="64" spans="1:17" ht="28.8">
      <c r="B64" s="96" t="s">
        <v>527</v>
      </c>
      <c r="C64" s="635" t="s">
        <v>528</v>
      </c>
      <c r="D64" s="580" t="s">
        <v>957</v>
      </c>
      <c r="L64" s="550" t="str">
        <f>'Default data'!$D$146</f>
        <v>Yet to provide pressure or electricity source</v>
      </c>
      <c r="M64" s="549" t="str">
        <f>IF(Electrolysis!$E$106=0,"Pathway not chosen",L64)</f>
        <v>Yet to provide pressure or electricity source</v>
      </c>
      <c r="O64" s="377"/>
      <c r="P64" s="377"/>
      <c r="Q64" s="377"/>
    </row>
    <row r="65" spans="2:17" ht="28.8">
      <c r="B65" s="96" t="s">
        <v>530</v>
      </c>
      <c r="C65" s="636"/>
      <c r="D65" s="580" t="s">
        <v>958</v>
      </c>
      <c r="L65" s="552" t="str">
        <f>'Default data'!$D$164</f>
        <v>Yet to provide electricity source</v>
      </c>
      <c r="M65" s="549" t="str">
        <f>IF(Electrolysis!$E$106=0,"Pathway not chosen",L65)</f>
        <v>Yet to provide electricity source</v>
      </c>
      <c r="O65" s="377"/>
      <c r="P65" s="377"/>
      <c r="Q65" s="377"/>
    </row>
    <row r="67" spans="2:17" ht="18">
      <c r="B67" s="100" t="s">
        <v>532</v>
      </c>
      <c r="C67" s="65"/>
      <c r="D67" s="65"/>
      <c r="E67" s="102">
        <f>PRODUCT(E58:E65)</f>
        <v>0</v>
      </c>
      <c r="F67" s="28"/>
      <c r="G67" s="28"/>
      <c r="H67" s="28"/>
      <c r="M67" s="105" t="str">
        <f>IF(COUNTIF(M58:M65,"*")&gt;0,"Pathway not chosen",SUM(M58:M65))</f>
        <v>Pathway not chosen</v>
      </c>
      <c r="N67" s="56"/>
      <c r="O67" s="377"/>
      <c r="P67" s="377"/>
      <c r="Q67" s="377"/>
    </row>
    <row r="68" spans="2:17" ht="18">
      <c r="B68" s="100" t="s">
        <v>533</v>
      </c>
      <c r="C68" s="65"/>
      <c r="D68" s="65"/>
      <c r="M68" s="106">
        <v>20</v>
      </c>
    </row>
  </sheetData>
  <customSheetViews>
    <customSheetView guid="{43B6AE9C-E429-4506-98F3-C388B54AB8B6}" showGridLines="0" state="hidden">
      <pane xSplit="3" topLeftCell="D1" activePane="topRight" state="frozen"/>
      <selection pane="topRight"/>
      <pageMargins left="0" right="0" top="0" bottom="0" header="0" footer="0"/>
      <pageSetup paperSize="9" orientation="portrait" r:id="rId1"/>
    </customSheetView>
    <customSheetView guid="{D41C0D8C-591E-4B34-99B3-B45BA51A58EC}" showGridLines="0" state="hidden">
      <pane xSplit="3" topLeftCell="D1" activePane="topRight" state="frozen"/>
      <selection pane="topRight"/>
      <pageMargins left="0" right="0" top="0" bottom="0" header="0" footer="0"/>
      <pageSetup paperSize="9" orientation="portrait" r:id="rId2"/>
    </customSheetView>
    <customSheetView guid="{8F590910-6C03-4233-9C41-6540BF2DE453}" showGridLines="0" state="hidden">
      <pane xSplit="3" topLeftCell="D1" activePane="topRight" state="frozen"/>
      <selection pane="topRight"/>
      <pageMargins left="0" right="0" top="0" bottom="0" header="0" footer="0"/>
      <pageSetup paperSize="9" orientation="portrait" r:id="rId3"/>
    </customSheetView>
    <customSheetView guid="{55CEC4CC-9BBF-4F2D-BA17-E94F4B26FAC5}" showGridLines="0">
      <pane xSplit="3" topLeftCell="D1" activePane="topRight" state="frozen"/>
      <selection pane="topRight"/>
      <pageMargins left="0" right="0" top="0" bottom="0" header="0" footer="0"/>
      <pageSetup paperSize="9" orientation="portrait" r:id="rId4"/>
    </customSheetView>
    <customSheetView guid="{7735C88E-3A13-4DCF-BB32-4D20A306A8BB}" showGridLines="0" state="hidden">
      <pane xSplit="3" topLeftCell="D1" activePane="topRight" state="frozen"/>
      <selection pane="topRight"/>
      <pageMargins left="0" right="0" top="0" bottom="0" header="0" footer="0"/>
      <pageSetup paperSize="9" orientation="portrait" r:id="rId5"/>
    </customSheetView>
    <customSheetView guid="{27B9E3C6-8189-41E0-896B-02A30393FDC0}" showGridLines="0" state="hidden">
      <pane xSplit="3" topLeftCell="D1" activePane="topRight" state="frozen"/>
      <selection pane="topRight"/>
      <pageMargins left="0" right="0" top="0" bottom="0" header="0" footer="0"/>
      <pageSetup paperSize="9" orientation="portrait" r:id="rId6"/>
    </customSheetView>
    <customSheetView guid="{ED9AC919-98EB-43A3-A158-23FD7D007D30}" showGridLines="0">
      <pane xSplit="3" topLeftCell="D1" activePane="topRight" state="frozen"/>
      <selection pane="topRight" activeCell="D1" sqref="D1"/>
      <pageMargins left="0" right="0" top="0" bottom="0" header="0" footer="0"/>
      <pageSetup paperSize="9" orientation="portrait" r:id="rId7"/>
    </customSheetView>
  </customSheetViews>
  <mergeCells count="27">
    <mergeCell ref="C64:C65"/>
    <mergeCell ref="O33:Q35"/>
    <mergeCell ref="O16:Q18"/>
    <mergeCell ref="O50:Q52"/>
    <mergeCell ref="J23:J28"/>
    <mergeCell ref="C29:C30"/>
    <mergeCell ref="J40:J45"/>
    <mergeCell ref="C46:C47"/>
    <mergeCell ref="B58:B63"/>
    <mergeCell ref="E58:E63"/>
    <mergeCell ref="F58:F63"/>
    <mergeCell ref="I58:I63"/>
    <mergeCell ref="J58:J63"/>
    <mergeCell ref="J6:J11"/>
    <mergeCell ref="C12:C13"/>
    <mergeCell ref="B23:B28"/>
    <mergeCell ref="E23:E28"/>
    <mergeCell ref="F23:F28"/>
    <mergeCell ref="I23:I28"/>
    <mergeCell ref="B40:B45"/>
    <mergeCell ref="E40:E45"/>
    <mergeCell ref="F40:F45"/>
    <mergeCell ref="I40:I45"/>
    <mergeCell ref="B6:B11"/>
    <mergeCell ref="E6:E11"/>
    <mergeCell ref="F6:F11"/>
    <mergeCell ref="I6:I11"/>
  </mergeCells>
  <pageMargins left="0" right="0" top="0" bottom="0" header="0" footer="0"/>
  <pageSetup paperSize="9" orientation="portrait" r:id="rId8"/>
  <extLst>
    <ext xmlns:x14="http://schemas.microsoft.com/office/spreadsheetml/2009/9/main" uri="{78C0D931-6437-407d-A8EE-F0AAD7539E65}">
      <x14:conditionalFormattings>
        <x14:conditionalFormatting xmlns:xm="http://schemas.microsoft.com/office/excel/2006/main">
          <x14:cfRule type="expression" priority="4" id="{5DA144C0-1101-4842-8BED-40E4E2AED795}">
            <xm:f>AND(Initial_questions!$E$21&lt;&gt;"Electrolysis using grid electricity", Initial_questions!$E$21&lt;&gt;"Electrolysis using renewable electricity", Initial_questions!$E$21&lt;&gt;"Electrolysis using nuclear electricity", Initial_questions!$E$21&lt;&gt;"Electrolysis using other electricity input", Initial_questions!$E$21&lt;&gt;"Electrolysis using mixed electricity inputs", Master_Switch = "On")</xm:f>
            <x14:dxf>
              <font>
                <color theme="0"/>
              </font>
              <fill>
                <patternFill>
                  <bgColor theme="0"/>
                </patternFill>
              </fill>
              <border>
                <left/>
                <right/>
                <top/>
                <bottom/>
                <vertical/>
                <horizontal/>
              </border>
            </x14:dxf>
          </x14:cfRule>
          <xm:sqref>A3:XFD100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A674A-11FB-48A1-B7A3-AC0883629141}">
  <sheetPr codeName="Sheet11">
    <tabColor rgb="FFFF66CC"/>
  </sheetPr>
  <dimension ref="A1:Q22"/>
  <sheetViews>
    <sheetView showGridLines="0" zoomScaleNormal="100" workbookViewId="0">
      <pane xSplit="3" topLeftCell="D1" activePane="topRight" state="frozen"/>
      <selection pane="topRight"/>
    </sheetView>
  </sheetViews>
  <sheetFormatPr defaultColWidth="8.88671875" defaultRowHeight="14.4"/>
  <cols>
    <col min="1" max="1" width="4.5546875" customWidth="1"/>
    <col min="2" max="2" width="32.44140625" customWidth="1"/>
    <col min="3" max="3" width="30.5546875" customWidth="1"/>
    <col min="4" max="4" width="29.5546875" customWidth="1"/>
    <col min="5" max="5" width="15.88671875" customWidth="1"/>
    <col min="6" max="6" width="31.88671875" customWidth="1"/>
    <col min="7" max="7" width="28.5546875" customWidth="1"/>
    <col min="8" max="8" width="30.44140625" customWidth="1"/>
    <col min="9" max="10" width="26.88671875" customWidth="1"/>
    <col min="11" max="11" width="35.109375" customWidth="1"/>
    <col min="12" max="12" width="20.88671875" customWidth="1"/>
    <col min="13" max="13" width="29" customWidth="1"/>
    <col min="15" max="15" width="30.109375" customWidth="1"/>
    <col min="16" max="16" width="28.88671875" customWidth="1"/>
    <col min="17" max="17" width="28.5546875" customWidth="1"/>
  </cols>
  <sheetData>
    <row r="1" spans="1:17" ht="31.2">
      <c r="A1" s="83" t="str">
        <f>IF(AND(Initial_questions!$E$21&lt;&gt;Units!$B$126, Initial_questions!$E$21&lt;&gt;Units!$B$125,Initial_questions!$E$21&lt;&gt;Units!$B$127,Master_Switch="On"),"User should not use this worksheet, but switch to a non-blank GHG summary worksheet","")</f>
        <v>User should not use this worksheet, but switch to a non-blank GHG summary worksheet</v>
      </c>
    </row>
    <row r="2" spans="1:17" ht="84.6" customHeight="1">
      <c r="B2" s="109" t="s">
        <v>510</v>
      </c>
      <c r="C2" s="109" t="s">
        <v>511</v>
      </c>
      <c r="D2" s="109" t="s">
        <v>512</v>
      </c>
      <c r="E2" s="109" t="s">
        <v>513</v>
      </c>
      <c r="F2" s="109" t="s">
        <v>514</v>
      </c>
      <c r="G2" s="109" t="s">
        <v>515</v>
      </c>
      <c r="H2" s="109" t="s">
        <v>516</v>
      </c>
      <c r="I2" s="109" t="s">
        <v>517</v>
      </c>
      <c r="J2" s="109" t="s">
        <v>518</v>
      </c>
      <c r="K2" s="109" t="s">
        <v>519</v>
      </c>
      <c r="L2" s="109" t="s">
        <v>520</v>
      </c>
      <c r="M2" s="109" t="s">
        <v>521</v>
      </c>
      <c r="O2" s="179" t="s">
        <v>777</v>
      </c>
      <c r="P2" s="179" t="s">
        <v>778</v>
      </c>
      <c r="Q2" s="179" t="s">
        <v>779</v>
      </c>
    </row>
    <row r="3" spans="1:17">
      <c r="B3" s="64" t="s">
        <v>539</v>
      </c>
      <c r="C3" s="620" t="s">
        <v>540</v>
      </c>
      <c r="D3" s="652" t="str">
        <f>IF(Initial_questions!E$96="", IF(Initial_questions!E$95="", "User to enter in Initial Qus", Initial_questions!E$95), Initial_questions!E$96)</f>
        <v>User to enter in Initial Qus</v>
      </c>
      <c r="E3" s="60" t="str">
        <f>NG_Collection!N20</f>
        <v>NA</v>
      </c>
      <c r="F3" s="174" t="e">
        <f>F4/E4</f>
        <v>#VALUE!</v>
      </c>
      <c r="G3" s="63">
        <f>IF(Initial_questions!$E$67=Units!$G$120, "OGA data used, ignore row", NG_Collection!S34)</f>
        <v>0</v>
      </c>
      <c r="H3" s="61" t="e">
        <f>IF(Initial_questions!$E$67=Units!$G$120, 0, G3*F3)</f>
        <v>#VALUE!</v>
      </c>
      <c r="I3" s="60" t="str">
        <f>IF(Initial_questions!$E$67=Units!$G$120, 100%, NG_Collection!O20)</f>
        <v/>
      </c>
      <c r="J3" s="60" t="e">
        <f t="shared" ref="J3:J4" si="0">J4*I3</f>
        <v>#VALUE!</v>
      </c>
      <c r="K3" s="62" t="e">
        <f t="shared" ref="K3:K6" si="1">H3*J3</f>
        <v>#VALUE!</v>
      </c>
      <c r="L3" s="655" t="str">
        <f>IF(Pathway=Units!$B$125,'Default data'!$D$15, IF(Pathway=Units!$B$126,'Default data'!$D$16,IF(Pathway=Units!$B$127,'Default data'!$D$17,"Pathway not chosen")))</f>
        <v>Pathway not chosen</v>
      </c>
      <c r="M3" s="657" t="e">
        <f>IF($D$3="Default",L3,K3+K4+K5+K6)</f>
        <v>#VALUE!</v>
      </c>
      <c r="O3" s="647" t="str">
        <f>IF(Pathway=Units!$B$125,'Default data'!E$15,IF(Pathway=Units!$B$126,'Default data'!E$16,IF(Pathway=Units!$B$127,"Pathway not available from LCA tool","Pathway not chosen")))</f>
        <v>Pathway not chosen</v>
      </c>
      <c r="P3" s="647" t="str">
        <f>IF(Pathway=Units!$B$125,'Default data'!F$15,IF(Pathway=Units!$B$126,'Default data'!F$16,IF(Pathway=Units!$B$127,"Pathway not available from LCA tool","Pathway not chosen")))</f>
        <v>Pathway not chosen</v>
      </c>
      <c r="Q3" s="647" t="str">
        <f>IF(Pathway=Units!$B$125,'Default data'!G$15,IF(Pathway=Units!$B$126,'Default data'!G$16,IF(Pathway=Units!$B$127,"Pathway not available from LCA tool","Pathway not chosen")))</f>
        <v>Pathway not chosen</v>
      </c>
    </row>
    <row r="4" spans="1:17">
      <c r="B4" s="64" t="s">
        <v>541</v>
      </c>
      <c r="C4" s="621"/>
      <c r="D4" s="653"/>
      <c r="E4" s="60" t="str">
        <f>IF(Initial_questions!$E$67=Units!$G$120,100%, NG_Transport!N20)</f>
        <v/>
      </c>
      <c r="F4" s="174" t="e">
        <f>F5/E5</f>
        <v>#VALUE!</v>
      </c>
      <c r="G4" s="63">
        <f>IF(Initial_questions!$E$67=Units!$G$120, "OGA data used, ignore row", NG_Transport!S33)</f>
        <v>0</v>
      </c>
      <c r="H4" s="61" t="e">
        <f>IF(Initial_questions!$E$67=Units!$G$120, 0, G4*F4)</f>
        <v>#VALUE!</v>
      </c>
      <c r="I4" s="60" t="str">
        <f>IF(Initial_questions!$E$67=Units!$G$120, 100%, NG_Transport!O20)</f>
        <v/>
      </c>
      <c r="J4" s="60" t="e">
        <f t="shared" si="0"/>
        <v>#VALUE!</v>
      </c>
      <c r="K4" s="62" t="e">
        <f t="shared" si="1"/>
        <v>#VALUE!</v>
      </c>
      <c r="L4" s="656"/>
      <c r="M4" s="658"/>
      <c r="O4" s="648"/>
      <c r="P4" s="648"/>
      <c r="Q4" s="648"/>
    </row>
    <row r="5" spans="1:17">
      <c r="B5" s="64" t="s">
        <v>39</v>
      </c>
      <c r="C5" s="621"/>
      <c r="D5" s="653"/>
      <c r="E5" s="60" t="str">
        <f>IF(Initial_questions!$E$67=Units!$G$120, 100%, NG_Processing!N20)</f>
        <v/>
      </c>
      <c r="F5" s="174" t="e">
        <f>F6/E6</f>
        <v>#VALUE!</v>
      </c>
      <c r="G5" s="63">
        <f>IF(Initial_questions!$E$67=Units!$G$120, "OGA data used, ignore row", NG_Processing!S34)</f>
        <v>0</v>
      </c>
      <c r="H5" s="61" t="e">
        <f>IF(Initial_questions!$E$67=Units!$G$120, 0, G5*F5)</f>
        <v>#VALUE!</v>
      </c>
      <c r="I5" s="60" t="str">
        <f>IF(Initial_questions!$E$67=Units!$G$120, 100%, NG_Processing!O20)</f>
        <v/>
      </c>
      <c r="J5" s="60" t="e">
        <f>J6*I5</f>
        <v>#VALUE!</v>
      </c>
      <c r="K5" s="62" t="e">
        <f t="shared" si="1"/>
        <v>#VALUE!</v>
      </c>
      <c r="L5" s="656"/>
      <c r="M5" s="658"/>
      <c r="O5" s="648"/>
      <c r="P5" s="648"/>
      <c r="Q5" s="648"/>
    </row>
    <row r="6" spans="1:17">
      <c r="B6" s="64" t="s">
        <v>40</v>
      </c>
      <c r="C6" s="622"/>
      <c r="D6" s="654"/>
      <c r="E6" s="60" t="str">
        <f>IF(Initial_questions!$E$67=Units!$G$120, 100%, NG_Further_Transport!N20)</f>
        <v/>
      </c>
      <c r="F6" s="174" t="e">
        <f>F7/E7</f>
        <v>#VALUE!</v>
      </c>
      <c r="G6" s="63">
        <f>IF(Initial_questions!$E$67=Units!$G$120, Assumptions!$C$19, NG_Further_Transport!S33)</f>
        <v>0</v>
      </c>
      <c r="H6" s="61" t="e">
        <f t="shared" ref="H6" si="2">G6*F6</f>
        <v>#VALUE!</v>
      </c>
      <c r="I6" s="60" t="str">
        <f>IF(Initial_questions!$E$67=Units!$G$120, 100%, NG_Further_Transport!O20)</f>
        <v/>
      </c>
      <c r="J6" s="60" t="e">
        <f>J7*I6</f>
        <v>#VALUE!</v>
      </c>
      <c r="K6" s="62" t="e">
        <f t="shared" si="1"/>
        <v>#VALUE!</v>
      </c>
      <c r="L6" s="656"/>
      <c r="M6" s="659"/>
      <c r="O6" s="649"/>
      <c r="P6" s="649"/>
      <c r="Q6" s="649"/>
    </row>
    <row r="7" spans="1:17">
      <c r="B7" s="632" t="s">
        <v>41</v>
      </c>
      <c r="C7" s="64" t="s">
        <v>90</v>
      </c>
      <c r="D7" s="320" t="str">
        <f>IF(Initial_questions!E$97="", IF(Initial_questions!E$95="", "User to enter in Initial Qus", Initial_questions!E$95), Initial_questions!E$97)</f>
        <v>User to enter in Initial Qus</v>
      </c>
      <c r="E7" s="623" t="str">
        <f>NG_Reforming_CCS!$N$9</f>
        <v/>
      </c>
      <c r="F7" s="626">
        <v>1</v>
      </c>
      <c r="G7" s="63">
        <f>NG_Reforming_CCS!S20</f>
        <v>0</v>
      </c>
      <c r="H7" s="61">
        <f>G7*$F$7</f>
        <v>0</v>
      </c>
      <c r="I7" s="623" t="str">
        <f>NG_Reforming_CCS!O9</f>
        <v/>
      </c>
      <c r="J7" s="623" t="str">
        <f>I7</f>
        <v/>
      </c>
      <c r="K7" s="62" t="e">
        <f>H7*$J$7</f>
        <v>#VALUE!</v>
      </c>
      <c r="L7" s="174" t="str">
        <f>IF(Pathway=Units!$B$125,'Default data'!$D$30,IF(Pathway=Units!$B$126,'Default data'!$D$31, IF(Pathway=Units!$B$127,'Default data'!$D$32,"Pathway not chosen")))</f>
        <v>Pathway not chosen</v>
      </c>
      <c r="M7" s="321" t="e">
        <f>IF(D7="Default",L7,K7)</f>
        <v>#VALUE!</v>
      </c>
      <c r="O7" s="168" t="str">
        <f>IF(Pathway=Units!$B$125, 'Default data'!E$30,IF(Pathway=Units!$B$126,'Default data'!E$31,IF(Pathway=Units!$B$127,"Pathway not available from LCA tool","Pathway not chosen")))</f>
        <v>Pathway not chosen</v>
      </c>
      <c r="P7" s="168" t="str">
        <f>IF(Pathway=Units!$B$125, 'Default data'!F$30,IF(Pathway=Units!$B$126,'Default data'!F$31,IF(Pathway=Units!$B$127,"Pathway not available from LCA tool","Pathway not chosen")))</f>
        <v>Pathway not chosen</v>
      </c>
      <c r="Q7" s="168" t="str">
        <f>IF(Pathway=Units!$B$125, 'Default data'!G$30,IF(Pathway=Units!$B$126,'Default data'!G$31,IF(Pathway=Units!$B$127,"Pathway not available from LCA tool","Pathway not chosen")))</f>
        <v>Pathway not chosen</v>
      </c>
    </row>
    <row r="8" spans="1:17">
      <c r="B8" s="633"/>
      <c r="C8" s="64" t="s">
        <v>91</v>
      </c>
      <c r="D8" s="320" t="str">
        <f>IF(Initial_questions!E$98="", IF(Initial_questions!E$95="", "User to enter in Initial Qus", Initial_questions!E$95), Initial_questions!E$98)</f>
        <v>User to enter in Initial Qus</v>
      </c>
      <c r="E8" s="624"/>
      <c r="F8" s="627"/>
      <c r="G8" s="63">
        <f>NG_Reforming_CCS!S33</f>
        <v>0</v>
      </c>
      <c r="H8" s="61">
        <f t="shared" ref="H8:H12" si="3">G8*$F$7</f>
        <v>0</v>
      </c>
      <c r="I8" s="624"/>
      <c r="J8" s="624"/>
      <c r="K8" s="62" t="e">
        <f t="shared" ref="K8:K12" si="4">H8*$J$7</f>
        <v>#VALUE!</v>
      </c>
      <c r="L8" s="174" t="str">
        <f>IF(Pathway=Units!$B$125,'Default data'!$D$45,IF(Pathway=Units!$B$126,'Default data'!$D$46,IF( Pathway=Units!$B$127,'Default data'!$D$47,"Pathway not chosen")))</f>
        <v>Pathway not chosen</v>
      </c>
      <c r="M8" s="321" t="e">
        <f>IF(D8="Default",L8,K8)</f>
        <v>#VALUE!</v>
      </c>
      <c r="O8" s="168" t="str">
        <f>IF(Pathway=Units!$B$125,'Default data'!E$45,IF(Pathway=Units!$B$126,'Default data'!E$46,IF(Pathway=Units!$B$127,"Pathway not available from LCA tool","Pathway not chosen")))</f>
        <v>Pathway not chosen</v>
      </c>
      <c r="P8" s="168" t="str">
        <f>IF(Pathway=Units!$B$125,'Default data'!F$45,IF(Pathway=Units!$B$126,'Default data'!F$46,IF(Pathway=Units!$B$127,"Pathway not available from LCA tool","Pathway not chosen")))</f>
        <v>Pathway not chosen</v>
      </c>
      <c r="Q8" s="168" t="str">
        <f>IF(Pathway=Units!$B$125,'Default data'!G$45,IF(Pathway=Units!$B$126,'Default data'!G$46,IF(Pathway=Units!$B$127,"Pathway not available from LCA tool","Pathway not chosen")))</f>
        <v>Pathway not chosen</v>
      </c>
    </row>
    <row r="9" spans="1:17">
      <c r="B9" s="633"/>
      <c r="C9" s="64" t="s">
        <v>522</v>
      </c>
      <c r="D9" s="64" t="s">
        <v>523</v>
      </c>
      <c r="E9" s="624"/>
      <c r="F9" s="627"/>
      <c r="G9" s="63">
        <f>NG_Reforming_CCS!S45</f>
        <v>0</v>
      </c>
      <c r="H9" s="61">
        <f t="shared" si="3"/>
        <v>0</v>
      </c>
      <c r="I9" s="624"/>
      <c r="J9" s="624"/>
      <c r="K9" s="62" t="e">
        <f t="shared" si="4"/>
        <v>#VALUE!</v>
      </c>
      <c r="L9" s="59" t="s">
        <v>485</v>
      </c>
      <c r="M9" s="321" t="e">
        <f>IF(D9="Default",L9,K9)</f>
        <v>#VALUE!</v>
      </c>
      <c r="O9" s="168" t="str">
        <f>IF(Pathway=Units!$B$125,'Default data'!E$60,IF(Pathway=Units!$B$126,'Default data'!E$61,IF(Pathway=Units!$B$127,"Pathway not available from LCA tool","Pathway not chosen")))</f>
        <v>Pathway not chosen</v>
      </c>
      <c r="P9" s="168" t="str">
        <f>IF(Pathway=Units!$B$125,'Default data'!F$60,IF(Pathway=Units!$B$126,'Default data'!F$61,IF(Pathway=Units!$B$127,"Pathway not available from LCA tool","Pathway not chosen")))</f>
        <v>Pathway not chosen</v>
      </c>
      <c r="Q9" s="168" t="str">
        <f>IF(Pathway=Units!$B$125,'Default data'!G$60,IF(Pathway=Units!$B$126,'Default data'!G$61,IF(Pathway=Units!$B$127,"Pathway not available from LCA tool","Pathway not chosen")))</f>
        <v>Pathway not chosen</v>
      </c>
    </row>
    <row r="10" spans="1:17">
      <c r="B10" s="633"/>
      <c r="C10" s="96" t="s">
        <v>524</v>
      </c>
      <c r="D10" s="64" t="s">
        <v>523</v>
      </c>
      <c r="E10" s="624"/>
      <c r="F10" s="627"/>
      <c r="G10" s="63">
        <f>NG_Reforming_CCS!S52</f>
        <v>0</v>
      </c>
      <c r="H10" s="61">
        <f t="shared" si="3"/>
        <v>0</v>
      </c>
      <c r="I10" s="624"/>
      <c r="J10" s="624"/>
      <c r="K10" s="62" t="e">
        <f t="shared" si="4"/>
        <v>#VALUE!</v>
      </c>
      <c r="L10" s="59" t="s">
        <v>485</v>
      </c>
      <c r="M10" s="321" t="e">
        <f>IF(D10="Default",L10,K10)</f>
        <v>#VALUE!</v>
      </c>
      <c r="O10" s="168" t="str">
        <f>IF(Pathway=Units!$B$125,'Default data'!E$75,IF(Pathway=Units!$B$126,'Default data'!E$76,IF(Pathway=Units!$B$127,"Pathway not available from LCA tool","Pathway not chosen")))</f>
        <v>Pathway not chosen</v>
      </c>
      <c r="P10" s="168" t="str">
        <f>IF(Pathway=Units!$B$125,'Default data'!F$75,IF(Pathway=Units!$B$126,'Default data'!F$76,IF(Pathway=Units!$B$127,"Pathway not available from LCA tool","Pathway not chosen")))</f>
        <v>Pathway not chosen</v>
      </c>
      <c r="Q10" s="168" t="str">
        <f>IF(Pathway=Units!$B$125,'Default data'!G$75,IF(Pathway=Units!$B$126,'Default data'!G$76,IF(Pathway=Units!$B$127,"Pathway not available from LCA tool","Pathway not chosen")))</f>
        <v>Pathway not chosen</v>
      </c>
    </row>
    <row r="11" spans="1:17" ht="15.6">
      <c r="B11" s="633"/>
      <c r="C11" s="96" t="s">
        <v>525</v>
      </c>
      <c r="D11" s="64" t="s">
        <v>523</v>
      </c>
      <c r="E11" s="624"/>
      <c r="F11" s="627"/>
      <c r="G11" s="63">
        <f>NG_Reforming_CCS!S60</f>
        <v>0</v>
      </c>
      <c r="H11" s="61">
        <f t="shared" si="3"/>
        <v>0</v>
      </c>
      <c r="I11" s="624"/>
      <c r="J11" s="624"/>
      <c r="K11" s="62" t="e">
        <f t="shared" si="4"/>
        <v>#VALUE!</v>
      </c>
      <c r="L11" s="59" t="s">
        <v>485</v>
      </c>
      <c r="M11" s="321" t="e">
        <f t="shared" ref="M11" si="5">IF(D11="Default",L11,K11)</f>
        <v>#VALUE!</v>
      </c>
      <c r="O11" s="168" t="str">
        <f>IF(Pathway=Units!$B$125,'Default data'!E$90,IF(Pathway=Units!$B$126,'Default data'!E$91,IF(Pathway=Units!$B$127,"Pathway not available from LCA tool","Pathway not chosen")))</f>
        <v>Pathway not chosen</v>
      </c>
      <c r="P11" s="168" t="str">
        <f>IF(Pathway=Units!$B$125,'Default data'!F$90,IF(Pathway=Units!$B$126,'Default data'!F$91,IF(Pathway=Units!$B$127,"Pathway not available from LCA tool","Pathway not chosen")))</f>
        <v>Pathway not chosen</v>
      </c>
      <c r="Q11" s="168" t="str">
        <f>IF(Pathway=Units!$B$125,'Default data'!G$90,IF(Pathway=Units!$B$126,'Default data'!G$91,IF(Pathway=Units!$B$127,"Pathway not available from LCA tool","Pathway not chosen")))</f>
        <v>Pathway not chosen</v>
      </c>
    </row>
    <row r="12" spans="1:17" ht="15.6">
      <c r="B12" s="634"/>
      <c r="C12" s="64" t="s">
        <v>526</v>
      </c>
      <c r="D12" s="64" t="s">
        <v>523</v>
      </c>
      <c r="E12" s="625"/>
      <c r="F12" s="628"/>
      <c r="G12" s="63">
        <f>NG_Reforming_CCS!S67</f>
        <v>0</v>
      </c>
      <c r="H12" s="61">
        <f t="shared" si="3"/>
        <v>0</v>
      </c>
      <c r="I12" s="625"/>
      <c r="J12" s="625"/>
      <c r="K12" s="62" t="e">
        <f t="shared" si="4"/>
        <v>#VALUE!</v>
      </c>
      <c r="L12" s="59" t="s">
        <v>485</v>
      </c>
      <c r="M12" s="321" t="e">
        <f>IF(D12="Default",L12,K12)</f>
        <v>#VALUE!</v>
      </c>
      <c r="O12" s="168" t="str">
        <f>IF(Pathway=Units!$B$125,'Default data'!E$105,IF(Pathway=Units!$B$126,'Default data'!E$106,IF(Pathway=Units!$B$127,"Pathway not available from LCA tool","Pathway not chosen")))</f>
        <v>Pathway not chosen</v>
      </c>
      <c r="P12" s="168" t="str">
        <f>IF(Pathway=Units!$B$125,'Default data'!F$105,IF(Pathway=Units!$B$126,'Default data'!F$106,IF(Pathway=Units!$B$127,"Pathway not available from LCA tool","Pathway not chosen")))</f>
        <v>Pathway not chosen</v>
      </c>
      <c r="Q12" s="168" t="str">
        <f>IF(Pathway=Units!$B$125,'Default data'!G$105,IF(Pathway=Units!$B$126,'Default data'!G$106,IF(Pathway=Units!$B$127,"Pathway not available from LCA tool","Pathway not chosen")))</f>
        <v>Pathway not chosen</v>
      </c>
    </row>
    <row r="13" spans="1:17" ht="28.8">
      <c r="B13" s="64" t="s">
        <v>527</v>
      </c>
      <c r="C13" s="650" t="s">
        <v>528</v>
      </c>
      <c r="D13" s="579" t="s">
        <v>957</v>
      </c>
      <c r="E13" s="28"/>
      <c r="F13" s="28"/>
      <c r="G13" s="28"/>
      <c r="H13" s="28"/>
      <c r="I13" s="28"/>
      <c r="L13" s="550" t="str">
        <f>'Default data'!$D$146</f>
        <v>Yet to provide pressure or electricity source</v>
      </c>
      <c r="M13" s="549" t="str">
        <f>L13</f>
        <v>Yet to provide pressure or electricity source</v>
      </c>
      <c r="O13" s="168" t="s">
        <v>730</v>
      </c>
      <c r="P13" s="168" t="s">
        <v>730</v>
      </c>
      <c r="Q13" s="168" t="s">
        <v>730</v>
      </c>
    </row>
    <row r="14" spans="1:17" ht="28.8">
      <c r="B14" s="64" t="s">
        <v>530</v>
      </c>
      <c r="C14" s="651"/>
      <c r="D14" s="579" t="s">
        <v>958</v>
      </c>
      <c r="E14" s="28"/>
      <c r="F14" s="28"/>
      <c r="G14" s="111"/>
      <c r="H14" s="28"/>
      <c r="I14" s="28"/>
      <c r="L14" s="552" t="str">
        <f>'Default data'!$D$164</f>
        <v>Yet to provide electricity source</v>
      </c>
      <c r="M14" s="549" t="str">
        <f>L14</f>
        <v>Yet to provide electricity source</v>
      </c>
      <c r="O14" s="168" t="s">
        <v>730</v>
      </c>
      <c r="P14" s="168" t="s">
        <v>730</v>
      </c>
      <c r="Q14" s="168" t="s">
        <v>730</v>
      </c>
    </row>
    <row r="15" spans="1:17">
      <c r="B15" s="99"/>
      <c r="C15" s="97"/>
      <c r="D15" s="98"/>
      <c r="E15" s="28"/>
      <c r="F15" s="28"/>
      <c r="G15" s="111"/>
      <c r="H15" s="28"/>
      <c r="I15" s="28"/>
    </row>
    <row r="16" spans="1:17" ht="18">
      <c r="B16" s="100" t="s">
        <v>532</v>
      </c>
      <c r="C16" s="101"/>
      <c r="D16" s="101"/>
      <c r="E16" s="102">
        <f>PRODUCT(E3:E14)</f>
        <v>0</v>
      </c>
      <c r="F16" s="103"/>
      <c r="G16" s="103"/>
      <c r="H16" s="103"/>
      <c r="I16" s="104"/>
      <c r="J16" s="118"/>
      <c r="K16" s="104"/>
      <c r="L16" s="104"/>
      <c r="M16" s="105" t="str">
        <f>IF(COUNTIF(M3:M14,"*")&gt;0,"Pathway not chosen",SUM(M3:M14))</f>
        <v>Pathway not chosen</v>
      </c>
      <c r="O16" s="168" t="str">
        <f>IF(Pathway=Units!$B$126,'Default data'!E$121,IF(Pathway=Units!$B$125,'Default data'!E$120,IF(Pathway=Units!$B$127,"Pathway data not available from LCA tool","Pathway not chosen")))</f>
        <v>Pathway not chosen</v>
      </c>
      <c r="P16" s="168" t="str">
        <f>IF(Pathway=Units!$B$126,'Default data'!F$121,IF(Pathway=Units!$B$125,'Default data'!F$120,IF(Pathway=Units!$B$127,"Pathway data not available from LCA tool","Pathway not chosen")))</f>
        <v>Pathway not chosen</v>
      </c>
      <c r="Q16" s="168" t="str">
        <f>IF(Pathway=Units!$B$126,'Default data'!G$121,IF(Pathway=Units!$B$125,'Default data'!G$120,IF(Pathway=Units!$B$127,"Pathway data not available from LCA tool","Pathway not chosen")))</f>
        <v>Pathway not chosen</v>
      </c>
    </row>
    <row r="17" spans="2:17" ht="18">
      <c r="B17" s="100" t="s">
        <v>533</v>
      </c>
      <c r="C17" s="101"/>
      <c r="D17" s="101"/>
      <c r="E17" s="104"/>
      <c r="F17" s="104"/>
      <c r="G17" s="104"/>
      <c r="H17" s="104"/>
      <c r="I17" s="104"/>
      <c r="J17" s="104"/>
      <c r="K17" s="104"/>
      <c r="L17" s="104"/>
      <c r="M17" s="106">
        <v>20</v>
      </c>
      <c r="O17" s="646" t="s">
        <v>780</v>
      </c>
      <c r="P17" s="646"/>
      <c r="Q17" s="646"/>
    </row>
    <row r="18" spans="2:17" ht="14.4" customHeight="1">
      <c r="O18" s="646"/>
      <c r="P18" s="646"/>
      <c r="Q18" s="646"/>
    </row>
    <row r="19" spans="2:17">
      <c r="O19" s="646"/>
      <c r="P19" s="646"/>
      <c r="Q19" s="646"/>
    </row>
    <row r="22" spans="2:17">
      <c r="O22" s="281"/>
    </row>
  </sheetData>
  <customSheetViews>
    <customSheetView guid="{43B6AE9C-E429-4506-98F3-C388B54AB8B6}" showGridLines="0" state="hidden">
      <pane xSplit="3" topLeftCell="D1" activePane="topRight" state="frozen"/>
      <selection pane="topRight"/>
      <pageMargins left="0" right="0" top="0" bottom="0" header="0" footer="0"/>
      <pageSetup paperSize="9" orientation="portrait" r:id="rId1"/>
    </customSheetView>
    <customSheetView guid="{D41C0D8C-591E-4B34-99B3-B45BA51A58EC}" showGridLines="0" state="hidden">
      <pane xSplit="3" topLeftCell="D1" activePane="topRight" state="frozen"/>
      <selection pane="topRight"/>
      <pageMargins left="0" right="0" top="0" bottom="0" header="0" footer="0"/>
      <pageSetup paperSize="9" orientation="portrait" r:id="rId2"/>
    </customSheetView>
    <customSheetView guid="{8F590910-6C03-4233-9C41-6540BF2DE453}" showGridLines="0">
      <pane xSplit="3" topLeftCell="D1" activePane="topRight" state="frozen"/>
      <selection pane="topRight"/>
      <pageMargins left="0" right="0" top="0" bottom="0" header="0" footer="0"/>
      <pageSetup paperSize="9" orientation="portrait" r:id="rId3"/>
    </customSheetView>
    <customSheetView guid="{55CEC4CC-9BBF-4F2D-BA17-E94F4B26FAC5}" showGridLines="0" state="hidden">
      <pane xSplit="3" topLeftCell="D1" activePane="topRight" state="frozen"/>
      <selection pane="topRight"/>
      <pageMargins left="0" right="0" top="0" bottom="0" header="0" footer="0"/>
      <pageSetup paperSize="9" orientation="portrait" r:id="rId4"/>
    </customSheetView>
    <customSheetView guid="{7735C88E-3A13-4DCF-BB32-4D20A306A8BB}" showGridLines="0" state="hidden">
      <pane xSplit="3" topLeftCell="D1" activePane="topRight" state="frozen"/>
      <selection pane="topRight"/>
      <pageMargins left="0" right="0" top="0" bottom="0" header="0" footer="0"/>
      <pageSetup paperSize="9" orientation="portrait" r:id="rId5"/>
    </customSheetView>
    <customSheetView guid="{27B9E3C6-8189-41E0-896B-02A30393FDC0}" showGridLines="0" state="hidden">
      <pane xSplit="3" topLeftCell="D1" activePane="topRight" state="frozen"/>
      <selection pane="topRight"/>
      <pageMargins left="0" right="0" top="0" bottom="0" header="0" footer="0"/>
      <pageSetup paperSize="9" orientation="portrait" r:id="rId6"/>
    </customSheetView>
    <customSheetView guid="{ED9AC919-98EB-43A3-A158-23FD7D007D30}" showGridLines="0">
      <pane xSplit="3" topLeftCell="D1" activePane="topRight" state="frozen"/>
      <selection pane="topRight" activeCell="D1" sqref="D1"/>
      <pageMargins left="0" right="0" top="0" bottom="0" header="0" footer="0"/>
      <pageSetup paperSize="9" orientation="portrait" r:id="rId7"/>
    </customSheetView>
  </customSheetViews>
  <mergeCells count="14">
    <mergeCell ref="O17:Q19"/>
    <mergeCell ref="O3:O6"/>
    <mergeCell ref="P3:P6"/>
    <mergeCell ref="Q3:Q6"/>
    <mergeCell ref="C13:C14"/>
    <mergeCell ref="D3:D6"/>
    <mergeCell ref="L3:L6"/>
    <mergeCell ref="C3:C6"/>
    <mergeCell ref="M3:M6"/>
    <mergeCell ref="B7:B12"/>
    <mergeCell ref="E7:E12"/>
    <mergeCell ref="F7:F12"/>
    <mergeCell ref="I7:I12"/>
    <mergeCell ref="J7:J12"/>
  </mergeCells>
  <pageMargins left="0" right="0" top="0" bottom="0" header="0" footer="0"/>
  <pageSetup paperSize="9" orientation="portrait" r:id="rId8"/>
  <extLst>
    <ext xmlns:x14="http://schemas.microsoft.com/office/spreadsheetml/2009/9/main" uri="{78C0D931-6437-407d-A8EE-F0AAD7539E65}">
      <x14:conditionalFormattings>
        <x14:conditionalFormatting xmlns:xm="http://schemas.microsoft.com/office/excel/2006/main">
          <x14:cfRule type="expression" priority="16" id="{101C228E-28D6-40F5-A9C6-340668E1EB47}">
            <xm:f>AND(Initial_questions!$E$21&lt;&gt;"Fossil Autothermal Reformer (ATR) with CCS", Initial_questions!$E$21&lt;&gt;"Fossil Steam Methane Reformer (SMR) with CCS",Initial_questions!$E$21&lt;&gt;"Fossil Partial Oxidation (POX) with CCS",Master_Switch="On")</xm:f>
            <x14:dxf>
              <font>
                <color theme="0"/>
              </font>
              <fill>
                <patternFill>
                  <bgColor theme="0"/>
                </patternFill>
              </fill>
              <border>
                <left/>
                <right/>
                <top/>
                <bottom/>
              </border>
            </x14:dxf>
          </x14:cfRule>
          <xm:sqref>A2:XFD100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B1C88-8481-419E-8B3F-6D49730AFC19}">
  <sheetPr codeName="Sheet12">
    <tabColor rgb="FFFF66CC"/>
  </sheetPr>
  <dimension ref="A1:Q24"/>
  <sheetViews>
    <sheetView showGridLines="0" zoomScaleNormal="100" workbookViewId="0">
      <pane xSplit="3" topLeftCell="D1" activePane="topRight" state="frozen"/>
      <selection pane="topRight"/>
    </sheetView>
  </sheetViews>
  <sheetFormatPr defaultColWidth="8.88671875" defaultRowHeight="14.4"/>
  <cols>
    <col min="1" max="1" width="4.5546875" customWidth="1"/>
    <col min="2" max="2" width="32.44140625" customWidth="1"/>
    <col min="3" max="3" width="30.5546875" customWidth="1"/>
    <col min="4" max="4" width="29.5546875" customWidth="1"/>
    <col min="5" max="5" width="15.88671875" customWidth="1"/>
    <col min="6" max="6" width="31.88671875" customWidth="1"/>
    <col min="7" max="7" width="28.5546875" customWidth="1"/>
    <col min="8" max="8" width="30.44140625" customWidth="1"/>
    <col min="9" max="10" width="26.88671875" customWidth="1"/>
    <col min="11" max="11" width="35.109375" customWidth="1"/>
    <col min="12" max="12" width="20.88671875" customWidth="1"/>
    <col min="13" max="13" width="29" customWidth="1"/>
    <col min="15" max="15" width="30.109375" customWidth="1"/>
    <col min="16" max="16" width="28.88671875" customWidth="1"/>
    <col min="17" max="17" width="28.5546875" customWidth="1"/>
  </cols>
  <sheetData>
    <row r="1" spans="1:17" ht="31.2">
      <c r="A1" s="83" t="str">
        <f>IF(AND(Initial_questions!$E$21&lt;&gt;"Biomethane Steam Methane Reformer (SMR) with CCS",Initial_questions!$E$21&lt;&gt;"Biomethane Steam Methane Reformer (SMR) without CCS", Initial_questions!$E$21&lt;&gt;"Biomethane Autothermal Reformer (ATR) with CCS",Initial_questions!$E$21&lt;&gt;"Biomethane Autothermal Reformer (ATR) without CCS",Master_Switch="On"),"User should not use this worksheet, but switch to a non-blank GHG summary worksheet","")</f>
        <v>User should not use this worksheet, but switch to a non-blank GHG summary worksheet</v>
      </c>
    </row>
    <row r="2" spans="1:17" ht="84.6" customHeight="1">
      <c r="B2" s="109" t="s">
        <v>510</v>
      </c>
      <c r="C2" s="109" t="s">
        <v>511</v>
      </c>
      <c r="D2" s="109" t="s">
        <v>512</v>
      </c>
      <c r="E2" s="109" t="s">
        <v>513</v>
      </c>
      <c r="F2" s="109" t="s">
        <v>514</v>
      </c>
      <c r="G2" s="109" t="s">
        <v>515</v>
      </c>
      <c r="H2" s="109" t="s">
        <v>516</v>
      </c>
      <c r="I2" s="109" t="s">
        <v>517</v>
      </c>
      <c r="J2" s="109" t="s">
        <v>518</v>
      </c>
      <c r="K2" s="109" t="s">
        <v>519</v>
      </c>
      <c r="L2" s="109" t="s">
        <v>520</v>
      </c>
      <c r="M2" s="109" t="s">
        <v>521</v>
      </c>
      <c r="O2" s="179" t="s">
        <v>735</v>
      </c>
      <c r="P2" s="179" t="s">
        <v>734</v>
      </c>
      <c r="Q2" s="179" t="s">
        <v>736</v>
      </c>
    </row>
    <row r="3" spans="1:17">
      <c r="B3" s="64" t="s">
        <v>43</v>
      </c>
      <c r="C3" s="632" t="s">
        <v>540</v>
      </c>
      <c r="D3" s="96" t="s">
        <v>542</v>
      </c>
      <c r="E3" s="60" t="str">
        <f>IF(AND(Initial_questions!$E$62&lt;&gt;Units!$R$120, Initial_questions!$E$62&lt;&gt;Units!$R$121, Initial_questions!$E$62&lt;&gt;Units!$R$122, Initial_questions!$E$62&lt;&gt;Units!$R$123),"NA", Biogas_Feedstock_Cultivation!N20)</f>
        <v>NA</v>
      </c>
      <c r="F3" s="174" t="str">
        <f>IF(AND(Initial_questions!$E$62&lt;&gt;Units!$R$120, Initial_questions!$E$62&lt;&gt;Units!$R$121, Initial_questions!$E$62&lt;&gt;Units!$R$122, Initial_questions!$E$62&lt;&gt;Units!$R$123),"NA",F4/E4)</f>
        <v>NA</v>
      </c>
      <c r="G3" s="173" t="str">
        <f>IF(AND(Initial_questions!$E$62&lt;&gt;Units!$R$120, Initial_questions!$E$62&lt;&gt;Units!$R$121, Initial_questions!$E$62&lt;&gt;Units!$R$122, Initial_questions!$E$62&lt;&gt;Units!$R$123),"Row not used",Biogas_Feedstock_Cultivation!S38)</f>
        <v>Row not used</v>
      </c>
      <c r="H3" s="61" t="str">
        <f>IF(AND(Initial_questions!$E$62&lt;&gt;Units!$R$120, Initial_questions!$E$62&lt;&gt;Units!$R$121, Initial_questions!$E$62&lt;&gt;Units!$R$122, Initial_questions!$E$62&lt;&gt;Units!$R$123),"NA",G3*F3)</f>
        <v>NA</v>
      </c>
      <c r="I3" s="324" t="str">
        <f>IF(AND(Initial_questions!$E$62&lt;&gt;Units!$R$120, Initial_questions!$E$62&lt;&gt;Units!$R$121, Initial_questions!$E$62&lt;&gt;Units!$R$122, Initial_questions!$E$62&lt;&gt;Units!$R$123),"NA",Biogas_Feedstock_Cultivation!O20)</f>
        <v>NA</v>
      </c>
      <c r="J3" s="60" t="str">
        <f>IF(AND(Initial_questions!$E$62&lt;&gt;Units!$R$120, Initial_questions!$E$62&lt;&gt;Units!$R$121, Initial_questions!$E$62&lt;&gt;Units!$R$122, Initial_questions!$E$62&lt;&gt;Units!$R$123),"NA",J4*I3)</f>
        <v>NA</v>
      </c>
      <c r="K3" s="62">
        <f>IF(AND(Initial_questions!$E$62&lt;&gt;Units!$R$120, Initial_questions!$E$62&lt;&gt;Units!$R$121, Initial_questions!$E$62&lt;&gt;Units!$R$122, Initial_questions!$E$62&lt;&gt;Units!$R$123),0,H3*J3)</f>
        <v>0</v>
      </c>
      <c r="L3" s="59" t="s">
        <v>485</v>
      </c>
      <c r="M3" s="657" t="e">
        <f>IF($D$5="Default",L5,SUM(K3:K8))</f>
        <v>#VALUE!</v>
      </c>
      <c r="O3" s="168" t="s">
        <v>485</v>
      </c>
      <c r="P3" s="168" t="s">
        <v>485</v>
      </c>
      <c r="Q3" s="647" t="str">
        <f>IF(Pathway=Units!$B$128,'Default data'!G$18, IF(Pathway=Units!$B$130,'Default data'!G$19, IF(OR(Pathway=Units!$B$129, Pathway=Units!$B$131),"Pathway not available from LCA tool","Pathway not chosen")))</f>
        <v>Pathway not chosen</v>
      </c>
    </row>
    <row r="4" spans="1:17">
      <c r="B4" s="64" t="s">
        <v>44</v>
      </c>
      <c r="C4" s="633"/>
      <c r="D4" s="96" t="s">
        <v>542</v>
      </c>
      <c r="E4" s="60" t="str">
        <f>IF(AND(Initial_questions!$E$62&lt;&gt;Units!$R$120, Initial_questions!$E$62&lt;&gt;Units!$R$121, Initial_questions!$E$62&lt;&gt;Units!$R$122, Initial_questions!$E$62&lt;&gt;Units!$R$123),"NA",Biogas_Feedstock_Harvesting!N20)</f>
        <v>NA</v>
      </c>
      <c r="F4" s="174" t="e">
        <f>F5/E5</f>
        <v>#VALUE!</v>
      </c>
      <c r="G4" s="173">
        <f>Biogas_Feedstock_Harvesting!S33</f>
        <v>0</v>
      </c>
      <c r="H4" s="61" t="e">
        <f>G4*F4</f>
        <v>#VALUE!</v>
      </c>
      <c r="I4" s="324" t="str">
        <f>IF(AND(Initial_questions!$E$62&lt;&gt;Units!$R$120, Initial_questions!$E$62&lt;&gt;Units!$R$121, Initial_questions!$E$62&lt;&gt;Units!$R$122, Initial_questions!$E$62&lt;&gt;Units!$R$123),"NA",Biogas_Feedstock_Harvesting!O20)</f>
        <v>NA</v>
      </c>
      <c r="J4" s="60" t="str">
        <f>IF(AND(Initial_questions!$E$62&lt;&gt;Units!$R$120, Initial_questions!$E$62&lt;&gt;Units!$R$121, Initial_questions!$E$62&lt;&gt;Units!$R$122, Initial_questions!$E$62&lt;&gt;Units!$R$123),"NA",J5*I4)</f>
        <v>NA</v>
      </c>
      <c r="K4" s="62">
        <f>IF(AND(Initial_questions!$E$62&lt;&gt;Units!$R$120, Initial_questions!$E$62&lt;&gt;Units!$R$121, Initial_questions!$E$62&lt;&gt;Units!$R$122, Initial_questions!$E$62&lt;&gt;Units!$R$123),0,H4*J4)</f>
        <v>0</v>
      </c>
      <c r="L4" s="59" t="s">
        <v>485</v>
      </c>
      <c r="M4" s="658"/>
      <c r="O4" s="168" t="s">
        <v>485</v>
      </c>
      <c r="P4" s="168" t="s">
        <v>485</v>
      </c>
      <c r="Q4" s="648"/>
    </row>
    <row r="5" spans="1:17">
      <c r="B5" s="64" t="s">
        <v>45</v>
      </c>
      <c r="C5" s="633"/>
      <c r="D5" s="652" t="str">
        <f>IF(Initial_questions!E$96="", IF(Initial_questions!E$95="", "User to enter in Initial Qus", Initial_questions!E$95), Initial_questions!E$96)</f>
        <v>User to enter in Initial Qus</v>
      </c>
      <c r="E5" s="60" t="str">
        <f>Biogas_Feedstock_Collection!N20</f>
        <v/>
      </c>
      <c r="F5" s="174" t="e">
        <f>F6/E6</f>
        <v>#VALUE!</v>
      </c>
      <c r="G5" s="173">
        <f>Biogas_Feedstock_Collection!S33</f>
        <v>0</v>
      </c>
      <c r="H5" s="61" t="e">
        <f>G5*F5</f>
        <v>#VALUE!</v>
      </c>
      <c r="I5" s="324" t="str">
        <f>Biogas_Feedstock_Collection!O20</f>
        <v/>
      </c>
      <c r="J5" s="60" t="e">
        <f>J6*I5</f>
        <v>#VALUE!</v>
      </c>
      <c r="K5" s="62" t="e">
        <f>H5*J5</f>
        <v>#VALUE!</v>
      </c>
      <c r="L5" s="660" t="str" cm="1">
        <f t="array" ref="L5">IF(Initial_questions!$E$94="No", "Feedstock does not match default", IF(OR(Pathway=Units!$B$128:$B$129),'Default data'!$D$18, IF(OR(Pathway=Units!$B$130:$B$131),'Default data'!$D$19,"Pathway not chosen")))</f>
        <v>Pathway not chosen</v>
      </c>
      <c r="M5" s="658"/>
      <c r="O5" s="647" t="str">
        <f>IF(Pathway=Units!$B$128,'Default data'!E$18, IF(Pathway=Units!$B$130,'Default data'!E$19, IF(OR(Pathway=Units!$B$129, Pathway=Units!$B$131),"Pathway not available from LCA tool","Pathway not chosen")))</f>
        <v>Pathway not chosen</v>
      </c>
      <c r="P5" s="647" t="str">
        <f>IF(Pathway=Units!$B$128,'Default data'!F$18, IF(Pathway=Units!$B$130,'Default data'!F$19, IF(OR(Pathway=Units!$B$129, Pathway=Units!$B$131),"Pathway not available from LCA tool","Pathway not chosen")))</f>
        <v>Pathway not chosen</v>
      </c>
      <c r="Q5" s="648"/>
    </row>
    <row r="6" spans="1:17">
      <c r="B6" s="64" t="s">
        <v>46</v>
      </c>
      <c r="C6" s="633"/>
      <c r="D6" s="653"/>
      <c r="E6" s="60" t="str">
        <f>Biogas_Feedstock_Transport!N20</f>
        <v/>
      </c>
      <c r="F6" s="174" t="e">
        <f t="shared" ref="F6:F7" si="0">F7/E7</f>
        <v>#VALUE!</v>
      </c>
      <c r="G6" s="173">
        <f>Biogas_Feedstock_Transport!S33</f>
        <v>0</v>
      </c>
      <c r="H6" s="61" t="e">
        <f t="shared" ref="H6:H7" si="1">G6*F6</f>
        <v>#VALUE!</v>
      </c>
      <c r="I6" s="324" t="str">
        <f>Biogas_Feedstock_Transport!O20</f>
        <v/>
      </c>
      <c r="J6" s="60" t="e">
        <f t="shared" ref="J6:J8" si="2">J7*I6</f>
        <v>#VALUE!</v>
      </c>
      <c r="K6" s="62" t="e">
        <f t="shared" ref="K6:K8" si="3">H6*J6</f>
        <v>#VALUE!</v>
      </c>
      <c r="L6" s="661"/>
      <c r="M6" s="658"/>
      <c r="O6" s="648"/>
      <c r="P6" s="648"/>
      <c r="Q6" s="648"/>
    </row>
    <row r="7" spans="1:17">
      <c r="B7" s="64" t="s">
        <v>543</v>
      </c>
      <c r="C7" s="633"/>
      <c r="D7" s="653"/>
      <c r="E7" s="60" t="str">
        <f>'Biogas+Biomethane_Upgrading'!N20</f>
        <v/>
      </c>
      <c r="F7" s="174" t="e">
        <f t="shared" si="0"/>
        <v>#VALUE!</v>
      </c>
      <c r="G7" s="173">
        <f>'Biogas+Biomethane_Upgrading'!S36</f>
        <v>0</v>
      </c>
      <c r="H7" s="61" t="e">
        <f t="shared" si="1"/>
        <v>#VALUE!</v>
      </c>
      <c r="I7" s="324" t="str">
        <f>'Biogas+Biomethane_Upgrading'!O20</f>
        <v/>
      </c>
      <c r="J7" s="60" t="e">
        <f t="shared" si="2"/>
        <v>#VALUE!</v>
      </c>
      <c r="K7" s="62" t="e">
        <f t="shared" si="3"/>
        <v>#VALUE!</v>
      </c>
      <c r="L7" s="661"/>
      <c r="M7" s="658"/>
      <c r="O7" s="648"/>
      <c r="P7" s="648"/>
      <c r="Q7" s="648"/>
    </row>
    <row r="8" spans="1:17">
      <c r="B8" s="64" t="s">
        <v>48</v>
      </c>
      <c r="C8" s="634"/>
      <c r="D8" s="654"/>
      <c r="E8" s="60" t="str">
        <f>Biomethane_Transport!N20</f>
        <v/>
      </c>
      <c r="F8" s="174" t="e">
        <f>F9/E9</f>
        <v>#VALUE!</v>
      </c>
      <c r="G8" s="173">
        <f>Biomethane_Transport!S33</f>
        <v>0</v>
      </c>
      <c r="H8" s="61" t="e">
        <f>G8*F8</f>
        <v>#VALUE!</v>
      </c>
      <c r="I8" s="324" t="str">
        <f>Biomethane_Transport!O20</f>
        <v/>
      </c>
      <c r="J8" s="60" t="e">
        <f t="shared" si="2"/>
        <v>#VALUE!</v>
      </c>
      <c r="K8" s="62" t="e">
        <f t="shared" si="3"/>
        <v>#VALUE!</v>
      </c>
      <c r="L8" s="662"/>
      <c r="M8" s="659"/>
      <c r="O8" s="649"/>
      <c r="P8" s="649"/>
      <c r="Q8" s="649"/>
    </row>
    <row r="9" spans="1:17">
      <c r="B9" s="620" t="s">
        <v>544</v>
      </c>
      <c r="C9" s="64" t="s">
        <v>90</v>
      </c>
      <c r="D9" s="320" t="str">
        <f>IF(Initial_questions!E$97="", IF(Initial_questions!E$95="", "User to enter in Initial Qus", Initial_questions!E$95), Initial_questions!E$97)</f>
        <v>User to enter in Initial Qus</v>
      </c>
      <c r="E9" s="623" t="str">
        <f>Biomethane_Reforming_CCS!N9</f>
        <v/>
      </c>
      <c r="F9" s="626">
        <v>1</v>
      </c>
      <c r="G9" s="63">
        <f>Biomethane_Reforming_CCS!S20</f>
        <v>0</v>
      </c>
      <c r="H9" s="61">
        <f>G9*$F$9</f>
        <v>0</v>
      </c>
      <c r="I9" s="663" t="str">
        <f>Biomethane_Reforming_CCS!O9</f>
        <v/>
      </c>
      <c r="J9" s="623" t="str">
        <f>I9</f>
        <v/>
      </c>
      <c r="K9" s="62" t="e">
        <f>H9*$J$9</f>
        <v>#VALUE!</v>
      </c>
      <c r="L9" s="174" t="str" cm="1">
        <f t="array" ref="L9">IF(OR(Pathway=Units!$B$128:$B$129),'Default data'!$D$33, IF(OR(Pathway=Units!$B$130:$B$131),'Default data'!$D$34,"Pathway not chosen"))</f>
        <v>Pathway not chosen</v>
      </c>
      <c r="M9" s="321" t="e">
        <f>IF(D9="Default",L9,K9)</f>
        <v>#VALUE!</v>
      </c>
      <c r="O9" s="168" t="str">
        <f>IF(Pathway=Units!$B$128,'Default data'!E$33, IF(Pathway=Units!$B$130,'Default data'!E$34, IF(OR(Pathway=Units!$B$129, Pathway=Units!$B$131),"Pathway not available from LCA tool","Pathway not chosen")))</f>
        <v>Pathway not chosen</v>
      </c>
      <c r="P9" s="168" t="str">
        <f>IF(Pathway=Units!$B$128,'Default data'!F$33, IF(Pathway=Units!$B$130,'Default data'!F$34, IF(OR(Pathway=Units!$B$129, Pathway=Units!$B$131),"Pathway not available from LCA tool","Pathway not chosen")))</f>
        <v>Pathway not chosen</v>
      </c>
      <c r="Q9" s="168" t="str">
        <f>IF(Pathway=Units!$B$128,'Default data'!G$33, IF(Pathway=Units!$B$130,'Default data'!G$34, IF(OR(Pathway=Units!$B$129, Pathway=Units!$B$131),"Pathway not available from LCA tool","Pathway not chosen")))</f>
        <v>Pathway not chosen</v>
      </c>
    </row>
    <row r="10" spans="1:17">
      <c r="B10" s="621"/>
      <c r="C10" s="64" t="s">
        <v>91</v>
      </c>
      <c r="D10" s="320" t="str">
        <f>IF(Initial_questions!E$98="", IF(Initial_questions!E$95="", "User to enter in Initial Qus", Initial_questions!E$95), Initial_questions!E$98)</f>
        <v>User to enter in Initial Qus</v>
      </c>
      <c r="E10" s="624"/>
      <c r="F10" s="627"/>
      <c r="G10" s="63">
        <f>Biomethane_Reforming_CCS!S33</f>
        <v>0</v>
      </c>
      <c r="H10" s="61">
        <f t="shared" ref="H10:H14" si="4">G10*$F$9</f>
        <v>0</v>
      </c>
      <c r="I10" s="664"/>
      <c r="J10" s="624"/>
      <c r="K10" s="62" t="e">
        <f t="shared" ref="K10:K14" si="5">H10*$J$9</f>
        <v>#VALUE!</v>
      </c>
      <c r="L10" s="174" t="str" cm="1">
        <f t="array" ref="L10">IF(OR(Pathway=Units!$B$128:$B$129),'Default data'!$D$48, IF(OR(Pathway=Units!$B$130:$B$131),'Default data'!$D$49,"Pathway not chosen"))</f>
        <v>Pathway not chosen</v>
      </c>
      <c r="M10" s="321" t="e">
        <f>IF(D10="Default",L10,K10)</f>
        <v>#VALUE!</v>
      </c>
      <c r="O10" s="168" t="str">
        <f>IF(Pathway=Units!$B$128,'Default data'!E$48, IF(Pathway=Units!$B$130,'Default data'!E$49, IF(OR(Pathway=Units!$B$129, Pathway=Units!$B$131),"Pathway not available from LCA tool","Pathway not chosen")))</f>
        <v>Pathway not chosen</v>
      </c>
      <c r="P10" s="168" t="str">
        <f>IF(Pathway=Units!$B$128,'Default data'!F$48, IF(Pathway=Units!$B$130,'Default data'!F$49, IF(OR(Pathway=Units!$B$129, Pathway=Units!$B$131),"Pathway not available from LCA tool","Pathway not chosen")))</f>
        <v>Pathway not chosen</v>
      </c>
      <c r="Q10" s="168" t="str">
        <f>IF(Pathway=Units!$B$128,'Default data'!G$48, IF(Pathway=Units!$B$130,'Default data'!G$49, IF(OR(Pathway=Units!$B$129, Pathway=Units!$B$131),"Pathway not available from LCA tool","Pathway not chosen")))</f>
        <v>Pathway not chosen</v>
      </c>
    </row>
    <row r="11" spans="1:17">
      <c r="B11" s="621"/>
      <c r="C11" s="271" t="s">
        <v>522</v>
      </c>
      <c r="D11" s="64" t="s">
        <v>523</v>
      </c>
      <c r="E11" s="624"/>
      <c r="F11" s="627"/>
      <c r="G11" s="63">
        <f>Biomethane_Reforming_CCS!S45</f>
        <v>0</v>
      </c>
      <c r="H11" s="61">
        <f t="shared" si="4"/>
        <v>0</v>
      </c>
      <c r="I11" s="664"/>
      <c r="J11" s="624"/>
      <c r="K11" s="62" t="e">
        <f t="shared" si="5"/>
        <v>#VALUE!</v>
      </c>
      <c r="L11" s="59" t="s">
        <v>485</v>
      </c>
      <c r="M11" s="321" t="e">
        <f>IF(D11="Default",L11,K11)</f>
        <v>#VALUE!</v>
      </c>
      <c r="O11" s="168" t="str">
        <f>IF(Pathway=Units!$B$128,'Default data'!E$63, IF(Pathway=Units!$B$130,'Default data'!E$64, IF(OR(Pathway=Units!$B$129, Pathway=Units!$B$131),"Pathway not available from LCA tool","Pathway not chosen")))</f>
        <v>Pathway not chosen</v>
      </c>
      <c r="P11" s="168" t="str">
        <f>IF(Pathway=Units!$B$128,'Default data'!F$63, IF(Pathway=Units!$B$130,'Default data'!F$64, IF(OR(Pathway=Units!$B$129, Pathway=Units!$B$131),"Pathway not available from LCA tool","Pathway not chosen")))</f>
        <v>Pathway not chosen</v>
      </c>
      <c r="Q11" s="168" t="str">
        <f>IF(Pathway=Units!$B$128,'Default data'!G$63, IF(Pathway=Units!$B$130,'Default data'!G$64, IF(OR(Pathway=Units!$B$129, Pathway=Units!$B$131),"Pathway not available from LCA tool","Pathway not chosen")))</f>
        <v>Pathway not chosen</v>
      </c>
    </row>
    <row r="12" spans="1:17">
      <c r="B12" s="621"/>
      <c r="C12" s="96" t="s">
        <v>524</v>
      </c>
      <c r="D12" s="64" t="s">
        <v>523</v>
      </c>
      <c r="E12" s="624"/>
      <c r="F12" s="627"/>
      <c r="G12" s="63">
        <f>Biomethane_Reforming_CCS!S52</f>
        <v>0</v>
      </c>
      <c r="H12" s="61">
        <f t="shared" si="4"/>
        <v>0</v>
      </c>
      <c r="I12" s="664"/>
      <c r="J12" s="624"/>
      <c r="K12" s="62" t="e">
        <f t="shared" si="5"/>
        <v>#VALUE!</v>
      </c>
      <c r="L12" s="59" t="s">
        <v>485</v>
      </c>
      <c r="M12" s="321" t="e">
        <f>IF(D12="Default",L12,K12)</f>
        <v>#VALUE!</v>
      </c>
      <c r="O12" s="168" t="str">
        <f>IF(Pathway=Units!$B$128,'Default data'!E$78, IF(Pathway=Units!$B$130,'Default data'!E$79, IF(OR(Pathway=Units!$B$129, Pathway=Units!$B$131),"Pathway not available from LCA tool","Pathway not chosen")))</f>
        <v>Pathway not chosen</v>
      </c>
      <c r="P12" s="168" t="str">
        <f>IF(Pathway=Units!$B$128,'Default data'!F$78, IF(Pathway=Units!$B$130,'Default data'!F$79, IF(OR(Pathway=Units!$B$129, Pathway=Units!$B$131),"Pathway not available from LCA tool","Pathway not chosen")))</f>
        <v>Pathway not chosen</v>
      </c>
      <c r="Q12" s="168" t="str">
        <f>IF(Pathway=Units!$B$128,'Default data'!G$78, IF(Pathway=Units!$B$130,'Default data'!G$79, IF(OR(Pathway=Units!$B$129, Pathway=Units!$B$131),"Pathway not available from LCA tool","Pathway not chosen")))</f>
        <v>Pathway not chosen</v>
      </c>
    </row>
    <row r="13" spans="1:17" ht="15.6">
      <c r="B13" s="621"/>
      <c r="C13" s="96" t="s">
        <v>525</v>
      </c>
      <c r="D13" s="64" t="s">
        <v>523</v>
      </c>
      <c r="E13" s="624"/>
      <c r="F13" s="627"/>
      <c r="G13" s="63">
        <f>Biomethane_Reforming_CCS!S60</f>
        <v>0</v>
      </c>
      <c r="H13" s="61">
        <f t="shared" si="4"/>
        <v>0</v>
      </c>
      <c r="I13" s="664"/>
      <c r="J13" s="624"/>
      <c r="K13" s="62" t="e">
        <f t="shared" si="5"/>
        <v>#VALUE!</v>
      </c>
      <c r="L13" s="59" t="s">
        <v>485</v>
      </c>
      <c r="M13" s="321" t="e">
        <f t="shared" ref="M13" si="6">IF(D13="Default",L13,K13)</f>
        <v>#VALUE!</v>
      </c>
      <c r="O13" s="168" t="str">
        <f>IF(Pathway=Units!$B$128,'Default data'!E$93, IF(Pathway=Units!$B$130,'Default data'!E$94, IF(OR(Pathway=Units!$B$129, Pathway=Units!$B$131),"Pathway not available from LCA tool","Pathway not chosen")))</f>
        <v>Pathway not chosen</v>
      </c>
      <c r="P13" s="168" t="str">
        <f>IF(Pathway=Units!$B$128,'Default data'!F$93, IF(Pathway=Units!$B$130,'Default data'!F$94, IF(OR(Pathway=Units!$B$129, Pathway=Units!$B$131),"Pathway not available from LCA tool","Pathway not chosen")))</f>
        <v>Pathway not chosen</v>
      </c>
      <c r="Q13" s="168" t="str">
        <f>IF(Pathway=Units!$B$128,'Default data'!G$93, IF(Pathway=Units!$B$130,'Default data'!G$94, IF(OR(Pathway=Units!$B$129, Pathway=Units!$B$131),"Pathway not available from LCA tool","Pathway not chosen")))</f>
        <v>Pathway not chosen</v>
      </c>
    </row>
    <row r="14" spans="1:17" ht="15.6">
      <c r="B14" s="622"/>
      <c r="C14" s="64" t="s">
        <v>526</v>
      </c>
      <c r="D14" s="64" t="s">
        <v>523</v>
      </c>
      <c r="E14" s="625"/>
      <c r="F14" s="628"/>
      <c r="G14" s="63">
        <f>Biomethane_Reforming_CCS!S67</f>
        <v>0</v>
      </c>
      <c r="H14" s="61">
        <f t="shared" si="4"/>
        <v>0</v>
      </c>
      <c r="I14" s="665"/>
      <c r="J14" s="625"/>
      <c r="K14" s="62" t="e">
        <f t="shared" si="5"/>
        <v>#VALUE!</v>
      </c>
      <c r="L14" s="59" t="s">
        <v>485</v>
      </c>
      <c r="M14" s="321" t="e">
        <f>IF(D14="Default",L14,K14)</f>
        <v>#VALUE!</v>
      </c>
      <c r="O14" s="168" t="str">
        <f>IF(Pathway=Units!$B$128,'Default data'!E$108, IF(Pathway=Units!$B$130,'Default data'!E$109, IF(OR(Pathway=Units!$B$129, Pathway=Units!$B$131),"Pathway not available from LCA tool","Pathway not chosen")))</f>
        <v>Pathway not chosen</v>
      </c>
      <c r="P14" s="168" t="str">
        <f>IF(Pathway=Units!$B$128,'Default data'!F$108, IF(Pathway=Units!$B$130,'Default data'!F$109, IF(OR(Pathway=Units!$B$129, Pathway=Units!$B$131),"Pathway not available from LCA tool","Pathway not chosen")))</f>
        <v>Pathway not chosen</v>
      </c>
      <c r="Q14" s="168" t="str">
        <f>IF(Pathway=Units!$B$128,'Default data'!G$108, IF(Pathway=Units!$B$130,'Default data'!G$109, IF(OR(Pathway=Units!$B$129, Pathway=Units!$B$131),"Pathway not available from LCA tool","Pathway not chosen")))</f>
        <v>Pathway not chosen</v>
      </c>
    </row>
    <row r="15" spans="1:17" ht="28.8">
      <c r="B15" s="64" t="s">
        <v>527</v>
      </c>
      <c r="C15" s="635" t="s">
        <v>528</v>
      </c>
      <c r="D15" s="579" t="s">
        <v>957</v>
      </c>
      <c r="E15" s="28"/>
      <c r="F15" s="28"/>
      <c r="G15" s="28"/>
      <c r="H15" s="28"/>
      <c r="I15" s="28"/>
      <c r="J15" s="28"/>
      <c r="K15" s="28"/>
      <c r="L15" s="550" t="str">
        <f>'Default data'!$D$146</f>
        <v>Yet to provide pressure or electricity source</v>
      </c>
      <c r="M15" s="549" t="str">
        <f>L15</f>
        <v>Yet to provide pressure or electricity source</v>
      </c>
      <c r="O15" s="168" t="s">
        <v>730</v>
      </c>
      <c r="P15" s="168" t="s">
        <v>730</v>
      </c>
      <c r="Q15" s="168" t="s">
        <v>730</v>
      </c>
    </row>
    <row r="16" spans="1:17" ht="28.8">
      <c r="B16" s="64" t="s">
        <v>530</v>
      </c>
      <c r="C16" s="636"/>
      <c r="D16" s="579" t="s">
        <v>958</v>
      </c>
      <c r="E16" s="28"/>
      <c r="F16" s="28"/>
      <c r="G16" s="28"/>
      <c r="H16" s="28"/>
      <c r="I16" s="28"/>
      <c r="J16" s="28"/>
      <c r="K16" s="28"/>
      <c r="L16" s="551" t="str">
        <f>'Default data'!$D$164</f>
        <v>Yet to provide electricity source</v>
      </c>
      <c r="M16" s="549" t="str">
        <f>L16</f>
        <v>Yet to provide electricity source</v>
      </c>
      <c r="O16" s="168" t="s">
        <v>730</v>
      </c>
      <c r="P16" s="168" t="s">
        <v>730</v>
      </c>
      <c r="Q16" s="168" t="s">
        <v>730</v>
      </c>
    </row>
    <row r="17" spans="2:17">
      <c r="O17" s="56"/>
    </row>
    <row r="18" spans="2:17" ht="18">
      <c r="B18" s="100" t="s">
        <v>532</v>
      </c>
      <c r="C18" s="65"/>
      <c r="D18" s="65"/>
      <c r="E18" s="102">
        <f>PRODUCT(E3:E16)</f>
        <v>0</v>
      </c>
      <c r="F18" s="28"/>
      <c r="G18" s="28"/>
      <c r="H18" s="28"/>
      <c r="M18" s="105" t="str">
        <f>IF(COUNTIF(M3:M16,"*")&gt;0,"Pathway not chosen",SUM(M3:M16))</f>
        <v>Pathway not chosen</v>
      </c>
      <c r="N18" s="56"/>
      <c r="O18" s="168" t="str">
        <f>IF(Pathway=Units!$B$128,SUM(O3:O16), IF(Pathway=Units!$B$130,SUM(O3:O16), IF(OR(Pathway=Units!$B$129, Pathway=Units!$B$131),"Pathway not available from LCA tool","Pathway not chosen")))</f>
        <v>Pathway not chosen</v>
      </c>
      <c r="P18" s="168" t="str">
        <f>IF(Pathway=Units!$B$128,SUM(P3:P16), IF(Pathway=Units!$B$130,SUM(P3:P16), IF(OR(Pathway=Units!$B$129, Pathway=Units!$B$131),"Pathway not available from LCA tool","Pathway not chosen")))</f>
        <v>Pathway not chosen</v>
      </c>
      <c r="Q18" s="168" t="str">
        <f>IF(Pathway=Units!$B$128,SUM(Q3:Q16), IF(Pathway=Units!$B$130,SUM(Q3:Q16), IF(OR(Pathway=Units!$B$129, Pathway=Units!$B$131),"Pathway not available from LCA tool","Pathway not chosen")))</f>
        <v>Pathway not chosen</v>
      </c>
    </row>
    <row r="19" spans="2:17" ht="18">
      <c r="B19" s="100" t="s">
        <v>533</v>
      </c>
      <c r="C19" s="65"/>
      <c r="D19" s="65"/>
      <c r="M19" s="106">
        <v>20</v>
      </c>
      <c r="O19" s="646" t="s">
        <v>545</v>
      </c>
      <c r="P19" s="646"/>
      <c r="Q19" s="646"/>
    </row>
    <row r="20" spans="2:17">
      <c r="O20" s="646"/>
      <c r="P20" s="646"/>
      <c r="Q20" s="646"/>
    </row>
    <row r="21" spans="2:17">
      <c r="O21" s="646"/>
      <c r="P21" s="646"/>
      <c r="Q21" s="646"/>
    </row>
    <row r="24" spans="2:17">
      <c r="O24" s="281"/>
    </row>
  </sheetData>
  <customSheetViews>
    <customSheetView guid="{43B6AE9C-E429-4506-98F3-C388B54AB8B6}" showGridLines="0" state="hidden">
      <pane xSplit="3" topLeftCell="D1" activePane="topRight" state="frozen"/>
      <selection pane="topRight"/>
      <pageMargins left="0" right="0" top="0" bottom="0" header="0" footer="0"/>
      <pageSetup paperSize="9" orientation="portrait" verticalDpi="0" r:id="rId1"/>
    </customSheetView>
    <customSheetView guid="{D41C0D8C-591E-4B34-99B3-B45BA51A58EC}" showGridLines="0" state="hidden">
      <pane xSplit="3" topLeftCell="D1" activePane="topRight" state="frozen"/>
      <selection pane="topRight"/>
      <pageMargins left="0" right="0" top="0" bottom="0" header="0" footer="0"/>
      <pageSetup paperSize="9" orientation="portrait" verticalDpi="0" r:id="rId2"/>
    </customSheetView>
    <customSheetView guid="{8F590910-6C03-4233-9C41-6540BF2DE453}" showGridLines="0" state="hidden">
      <pane xSplit="3" topLeftCell="D1" activePane="topRight" state="frozen"/>
      <selection pane="topRight"/>
      <pageMargins left="0" right="0" top="0" bottom="0" header="0" footer="0"/>
      <pageSetup paperSize="9" orientation="portrait" verticalDpi="0" r:id="rId3"/>
    </customSheetView>
    <customSheetView guid="{55CEC4CC-9BBF-4F2D-BA17-E94F4B26FAC5}" showGridLines="0" state="hidden">
      <pane xSplit="3" topLeftCell="D1" activePane="topRight" state="frozen"/>
      <selection pane="topRight"/>
      <pageMargins left="0" right="0" top="0" bottom="0" header="0" footer="0"/>
      <pageSetup paperSize="9" orientation="portrait" verticalDpi="0" r:id="rId4"/>
    </customSheetView>
    <customSheetView guid="{7735C88E-3A13-4DCF-BB32-4D20A306A8BB}" showGridLines="0" state="hidden">
      <pane xSplit="3" topLeftCell="D1" activePane="topRight" state="frozen"/>
      <selection pane="topRight"/>
      <pageMargins left="0" right="0" top="0" bottom="0" header="0" footer="0"/>
      <pageSetup paperSize="9" orientation="portrait" verticalDpi="0" r:id="rId5"/>
    </customSheetView>
    <customSheetView guid="{27B9E3C6-8189-41E0-896B-02A30393FDC0}" showGridLines="0">
      <pane xSplit="3" topLeftCell="D1" activePane="topRight" state="frozen"/>
      <selection pane="topRight"/>
      <pageMargins left="0" right="0" top="0" bottom="0" header="0" footer="0"/>
      <pageSetup paperSize="9" orientation="portrait" verticalDpi="0" r:id="rId6"/>
    </customSheetView>
    <customSheetView guid="{ED9AC919-98EB-43A3-A158-23FD7D007D30}" showGridLines="0">
      <pane xSplit="3" topLeftCell="D1" activePane="topRight" state="frozen"/>
      <selection pane="topRight" activeCell="D1" sqref="D1"/>
      <pageMargins left="0" right="0" top="0" bottom="0" header="0" footer="0"/>
      <pageSetup paperSize="9" orientation="portrait" verticalDpi="0" r:id="rId7"/>
    </customSheetView>
  </customSheetViews>
  <mergeCells count="14">
    <mergeCell ref="O19:Q21"/>
    <mergeCell ref="B9:B14"/>
    <mergeCell ref="E9:E14"/>
    <mergeCell ref="O5:O8"/>
    <mergeCell ref="P5:P8"/>
    <mergeCell ref="L5:L8"/>
    <mergeCell ref="F9:F14"/>
    <mergeCell ref="I9:I14"/>
    <mergeCell ref="J9:J14"/>
    <mergeCell ref="C15:C16"/>
    <mergeCell ref="C3:C8"/>
    <mergeCell ref="D5:D8"/>
    <mergeCell ref="Q3:Q8"/>
    <mergeCell ref="M3:M8"/>
  </mergeCells>
  <pageMargins left="0" right="0" top="0" bottom="0" header="0" footer="0"/>
  <pageSetup paperSize="9" orientation="portrait" verticalDpi="0" r:id="rId8"/>
  <extLst>
    <ext xmlns:x14="http://schemas.microsoft.com/office/spreadsheetml/2009/9/main" uri="{78C0D931-6437-407d-A8EE-F0AAD7539E65}">
      <x14:conditionalFormattings>
        <x14:conditionalFormatting xmlns:xm="http://schemas.microsoft.com/office/excel/2006/main">
          <x14:cfRule type="expression" priority="22" id="{A7F86969-0A1D-447E-92FB-59393754EF8C}">
            <xm:f>AND(Initial_questions!$E$21&lt;&gt;"Biomethane Steam Methane Reformer (SMR) with CCS",Initial_questions!$E$21&lt;&gt;"Biomethane Steam Methane Reformer (SMR) without CCS", Initial_questions!$E$21&lt;&gt;"Biomethane Autothermal Reformer (ATR) with CCS",Initial_questions!$E$21&lt;&gt;"Biomethane Autothermal Reformer (ATR) without CCS",Master_Switch="On")</xm:f>
            <x14:dxf>
              <font>
                <color theme="0"/>
              </font>
              <fill>
                <patternFill>
                  <bgColor theme="0"/>
                </patternFill>
              </fill>
              <border>
                <left/>
                <right/>
                <top/>
                <bottom/>
                <vertical/>
                <horizontal/>
              </border>
            </x14:dxf>
          </x14:cfRule>
          <xm:sqref>A2:XFD3 A4:P8 R4:XFD8 A9:XFD100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A73D8-1109-4307-8A36-86143D41711A}">
  <sheetPr codeName="Sheet13">
    <tabColor rgb="FFFF66CC"/>
  </sheetPr>
  <dimension ref="A1:Q23"/>
  <sheetViews>
    <sheetView showGridLines="0" zoomScaleNormal="100" workbookViewId="0">
      <pane xSplit="3" topLeftCell="D1" activePane="topRight" state="frozen"/>
      <selection pane="topRight"/>
    </sheetView>
  </sheetViews>
  <sheetFormatPr defaultColWidth="8.88671875" defaultRowHeight="14.4"/>
  <cols>
    <col min="1" max="1" width="4.5546875" customWidth="1"/>
    <col min="2" max="2" width="32.44140625" customWidth="1"/>
    <col min="3" max="3" width="30.5546875" customWidth="1"/>
    <col min="4" max="4" width="29.33203125" customWidth="1"/>
    <col min="5" max="5" width="15.88671875" customWidth="1"/>
    <col min="6" max="6" width="31.88671875" customWidth="1"/>
    <col min="7" max="7" width="28.5546875" customWidth="1"/>
    <col min="8" max="8" width="30.44140625" customWidth="1"/>
    <col min="9" max="10" width="26.88671875" customWidth="1"/>
    <col min="11" max="11" width="35.109375" customWidth="1"/>
    <col min="12" max="12" width="20.88671875" customWidth="1"/>
    <col min="13" max="13" width="29" customWidth="1"/>
    <col min="15" max="15" width="30.109375" customWidth="1"/>
    <col min="16" max="16" width="28.88671875" customWidth="1"/>
    <col min="17" max="17" width="28.5546875" customWidth="1"/>
  </cols>
  <sheetData>
    <row r="1" spans="1:17" ht="31.2">
      <c r="A1" s="83" t="str">
        <f>IF(AND(Initial_questions!$E$21&lt;&gt;"Biomass Gasification with CCS",Initial_questions!$E$21&lt;&gt;"Biomass Gasification without CCS",Master_Switch="On"),"User should not use this worksheet, but switch to a non-blank GHG summary worksheet","")</f>
        <v>User should not use this worksheet, but switch to a non-blank GHG summary worksheet</v>
      </c>
    </row>
    <row r="2" spans="1:17" ht="84.6" customHeight="1">
      <c r="B2" s="109" t="s">
        <v>510</v>
      </c>
      <c r="C2" s="109" t="s">
        <v>511</v>
      </c>
      <c r="D2" s="109" t="s">
        <v>512</v>
      </c>
      <c r="E2" s="109" t="s">
        <v>513</v>
      </c>
      <c r="F2" s="109" t="s">
        <v>514</v>
      </c>
      <c r="G2" s="109" t="s">
        <v>515</v>
      </c>
      <c r="H2" s="109" t="s">
        <v>516</v>
      </c>
      <c r="I2" s="109" t="s">
        <v>517</v>
      </c>
      <c r="J2" s="109" t="s">
        <v>518</v>
      </c>
      <c r="K2" s="109" t="s">
        <v>519</v>
      </c>
      <c r="L2" s="109" t="s">
        <v>520</v>
      </c>
      <c r="M2" s="109" t="s">
        <v>521</v>
      </c>
      <c r="O2" s="179" t="s">
        <v>731</v>
      </c>
      <c r="P2" s="179" t="s">
        <v>732</v>
      </c>
      <c r="Q2" s="179" t="s">
        <v>733</v>
      </c>
    </row>
    <row r="3" spans="1:17">
      <c r="B3" s="64" t="s">
        <v>51</v>
      </c>
      <c r="C3" s="632" t="s">
        <v>540</v>
      </c>
      <c r="D3" s="96" t="s">
        <v>542</v>
      </c>
      <c r="E3" s="60" t="str">
        <f>IF(AND(Initial_questions!$E$62&lt;&gt;Units!$R$120, Initial_questions!$E$62&lt;&gt;Units!$R$121, Initial_questions!$E$62&lt;&gt;Units!$R$122, Initial_questions!$E$62&lt;&gt;Units!$R$123), "NA", Biomass_Cultivation!N20)</f>
        <v>NA</v>
      </c>
      <c r="F3" s="174" t="str">
        <f>IF(AND(Initial_questions!$E$62&lt;&gt;Units!$R$120, Initial_questions!$E$62&lt;&gt;Units!$R$121, Initial_questions!$E$62&lt;&gt;Units!$R$122, Initial_questions!$E$62&lt;&gt;Units!$R$123),"NA",F4/E4)</f>
        <v>NA</v>
      </c>
      <c r="G3" s="63">
        <f>Biomass_Cultivation!S39</f>
        <v>0</v>
      </c>
      <c r="H3" s="61" t="str">
        <f>IF(AND(Initial_questions!$E$62&lt;&gt;Units!$R$120, Initial_questions!$E$62&lt;&gt;Units!$R$121, Initial_questions!$E$62&lt;&gt;Units!$R$122, Initial_questions!$E$62&lt;&gt;Units!$R$123),"NA",G3*F3)</f>
        <v>NA</v>
      </c>
      <c r="I3" s="322" t="str">
        <f>IF(AND(Initial_questions!$E$62&lt;&gt;Units!$R$120, Initial_questions!$E$62&lt;&gt;Units!$R$121, Initial_questions!$E$62&lt;&gt;Units!$R$122, Initial_questions!$E$62&lt;&gt;Units!$R$123),"NA",Biomass_Cultivation!O20)</f>
        <v>NA</v>
      </c>
      <c r="J3" s="60" t="str">
        <f>IF(AND(Initial_questions!$E$62&lt;&gt;Units!$R$120, Initial_questions!$E$62&lt;&gt;Units!$R$121, Initial_questions!$E$62&lt;&gt;Units!$R$122, Initial_questions!$E$62&lt;&gt;Units!$R$123),"NA",J4*I3)</f>
        <v>NA</v>
      </c>
      <c r="K3" s="62">
        <f>IF(AND(Initial_questions!$E$62&lt;&gt;Units!$R$120, Initial_questions!$E$62&lt;&gt;Units!$R$121, Initial_questions!$E$62&lt;&gt;Units!$R$122, Initial_questions!$E$62&lt;&gt;Units!$R$123),0,H3*J3)</f>
        <v>0</v>
      </c>
      <c r="L3" s="59" t="s">
        <v>485</v>
      </c>
      <c r="M3" s="657" t="e">
        <f>IF($D$5="Default",L5,SUM(K3:K8))</f>
        <v>#VALUE!</v>
      </c>
      <c r="O3" s="168" t="s">
        <v>485</v>
      </c>
      <c r="P3" s="168" t="s">
        <v>485</v>
      </c>
      <c r="Q3" s="168" t="s">
        <v>485</v>
      </c>
    </row>
    <row r="4" spans="1:17">
      <c r="B4" s="64" t="s">
        <v>52</v>
      </c>
      <c r="C4" s="633"/>
      <c r="D4" s="96" t="s">
        <v>542</v>
      </c>
      <c r="E4" s="60" t="str">
        <f>IF(AND(Initial_questions!$E$62&lt;&gt;Units!$R$120, Initial_questions!$E$62&lt;&gt;Units!$R$121, Initial_questions!$E$62&lt;&gt;Units!$R$122, Initial_questions!$E$62&lt;&gt;Units!$R$123),"NA",Biomass_Harvesting!N20)</f>
        <v>NA</v>
      </c>
      <c r="F4" s="174" t="e">
        <f t="shared" ref="F4" si="0">F5/E5</f>
        <v>#VALUE!</v>
      </c>
      <c r="G4" s="63">
        <f>Biomass_Harvesting!S33</f>
        <v>0</v>
      </c>
      <c r="H4" s="61" t="e">
        <f t="shared" ref="H4" si="1">G4*F4</f>
        <v>#VALUE!</v>
      </c>
      <c r="I4" s="322" t="str">
        <f>IF(AND(Initial_questions!$E$62&lt;&gt;Units!$R$120, Initial_questions!$E$62&lt;&gt;Units!$R$121, Initial_questions!$E$62&lt;&gt;Units!$R$122, Initial_questions!$E$62&lt;&gt;Units!$R$123),"NA",Biomass_Harvesting!O20)</f>
        <v>NA</v>
      </c>
      <c r="J4" s="60" t="str">
        <f>IF(AND(Initial_questions!$E$62&lt;&gt;Units!$R$120, Initial_questions!$E$62&lt;&gt;Units!$R$121, Initial_questions!$E$62&lt;&gt;Units!$R$122, Initial_questions!$E$62&lt;&gt;Units!$R$123),"NA",J5*I4)</f>
        <v>NA</v>
      </c>
      <c r="K4" s="62">
        <f>IF(AND(Initial_questions!$E$62&lt;&gt;Units!$R$120, Initial_questions!$E$62&lt;&gt;Units!$R$121, Initial_questions!$E$62&lt;&gt;Units!$R$122, Initial_questions!$E$62&lt;&gt;Units!$R$123),0,H4*J4)</f>
        <v>0</v>
      </c>
      <c r="L4" s="59" t="s">
        <v>485</v>
      </c>
      <c r="M4" s="658"/>
      <c r="O4" s="168" t="s">
        <v>485</v>
      </c>
      <c r="P4" s="168" t="s">
        <v>485</v>
      </c>
      <c r="Q4" s="168" t="s">
        <v>485</v>
      </c>
    </row>
    <row r="5" spans="1:17">
      <c r="B5" s="64" t="s">
        <v>53</v>
      </c>
      <c r="C5" s="633"/>
      <c r="D5" s="652" t="str">
        <f>IF(Initial_questions!E$96="", IF(Initial_questions!E$95="", "User to enter in Initial Qus", Initial_questions!E$95), Initial_questions!E$96)</f>
        <v>User to enter in Initial Qus</v>
      </c>
      <c r="E5" s="60" t="str">
        <f>Biomass_Collection!N20</f>
        <v/>
      </c>
      <c r="F5" s="174" t="e">
        <f>F6/E6</f>
        <v>#VALUE!</v>
      </c>
      <c r="G5" s="63">
        <f>Biomass_Collection!S33</f>
        <v>0</v>
      </c>
      <c r="H5" s="61" t="e">
        <f>G5*F5</f>
        <v>#VALUE!</v>
      </c>
      <c r="I5" s="322" t="str">
        <f>Biomass_Collection!O20</f>
        <v/>
      </c>
      <c r="J5" s="60" t="e">
        <f>J6*I5</f>
        <v>#VALUE!</v>
      </c>
      <c r="K5" s="62" t="e">
        <f>H5*J5</f>
        <v>#VALUE!</v>
      </c>
      <c r="L5" s="626" t="str" cm="1">
        <f t="array" ref="L5">IF(Initial_questions!$E$94="No", "Feedstock does not match default", IF(OR(Pathway=Units!$B$132:$B$133),'Default data'!$D$20,"Pathway not chosen"))</f>
        <v>Pathway not chosen</v>
      </c>
      <c r="M5" s="658"/>
      <c r="O5" s="647" t="str">
        <f>IF(Pathway=Units!$B$132,'Default data'!E$20,IF(Pathway=Units!$B$133, "Pathway not available from LCA tool", "Pathway not chosen"))</f>
        <v>Pathway not chosen</v>
      </c>
      <c r="P5" s="647" t="str">
        <f>IF(Pathway=Units!$B$132,'Default data'!F$20,IF(Pathway=Units!$B$133, "Pathway not available from LCA tool", "Pathway not chosen"))</f>
        <v>Pathway not chosen</v>
      </c>
      <c r="Q5" s="647" t="str">
        <f>IF(Pathway=Units!$B$132,'Default data'!G$20,IF(Pathway=Units!$B$133, "Pathway not available from LCA tool", "Pathway not chosen"))</f>
        <v>Pathway not chosen</v>
      </c>
    </row>
    <row r="6" spans="1:17">
      <c r="B6" s="64" t="s">
        <v>54</v>
      </c>
      <c r="C6" s="633"/>
      <c r="D6" s="653"/>
      <c r="E6" s="60" t="str">
        <f>Biomass_Transport!N20</f>
        <v/>
      </c>
      <c r="F6" s="174" t="e">
        <f>F7/E7</f>
        <v>#VALUE!</v>
      </c>
      <c r="G6" s="63">
        <f>Biomass_Transport!S33</f>
        <v>0</v>
      </c>
      <c r="H6" s="61" t="e">
        <f t="shared" ref="H6:H8" si="2">G6*F6</f>
        <v>#VALUE!</v>
      </c>
      <c r="I6" s="322" t="str">
        <f>Biomass_Transport!O20</f>
        <v/>
      </c>
      <c r="J6" s="60" t="e">
        <f t="shared" ref="J6" si="3">J7*I6</f>
        <v>#VALUE!</v>
      </c>
      <c r="K6" s="62" t="e">
        <f t="shared" ref="K6:K8" si="4">H6*J6</f>
        <v>#VALUE!</v>
      </c>
      <c r="L6" s="627"/>
      <c r="M6" s="658"/>
      <c r="O6" s="648"/>
      <c r="P6" s="648"/>
      <c r="Q6" s="648"/>
    </row>
    <row r="7" spans="1:17">
      <c r="B7" s="64" t="s">
        <v>55</v>
      </c>
      <c r="C7" s="633"/>
      <c r="D7" s="653"/>
      <c r="E7" s="60" t="str">
        <f>'Biomass_Pre-Processing'!N20</f>
        <v/>
      </c>
      <c r="F7" s="174" t="e">
        <f>F8/E8</f>
        <v>#VALUE!</v>
      </c>
      <c r="G7" s="63">
        <f>'Biomass_Pre-Processing'!S36</f>
        <v>0</v>
      </c>
      <c r="H7" s="61" t="e">
        <f t="shared" si="2"/>
        <v>#VALUE!</v>
      </c>
      <c r="I7" s="322" t="str">
        <f>'Biomass_Pre-Processing'!O20</f>
        <v/>
      </c>
      <c r="J7" s="60" t="e">
        <f>J8*I7</f>
        <v>#VALUE!</v>
      </c>
      <c r="K7" s="62" t="e">
        <f t="shared" si="4"/>
        <v>#VALUE!</v>
      </c>
      <c r="L7" s="627"/>
      <c r="M7" s="658"/>
      <c r="O7" s="648"/>
      <c r="P7" s="648"/>
      <c r="Q7" s="648"/>
    </row>
    <row r="8" spans="1:17">
      <c r="B8" s="64" t="s">
        <v>56</v>
      </c>
      <c r="C8" s="634"/>
      <c r="D8" s="654"/>
      <c r="E8" s="60" t="str">
        <f>Biomass_Further_Transport!N20</f>
        <v/>
      </c>
      <c r="F8" s="174" t="e">
        <f>F9/E9</f>
        <v>#VALUE!</v>
      </c>
      <c r="G8" s="63">
        <f>Biomass_Further_Transport!S33</f>
        <v>0</v>
      </c>
      <c r="H8" s="61" t="e">
        <f t="shared" si="2"/>
        <v>#VALUE!</v>
      </c>
      <c r="I8" s="322" t="str">
        <f>Biomass_Further_Transport!O20</f>
        <v/>
      </c>
      <c r="J8" s="60" t="e">
        <f>J9*I8</f>
        <v>#VALUE!</v>
      </c>
      <c r="K8" s="62" t="e">
        <f t="shared" si="4"/>
        <v>#VALUE!</v>
      </c>
      <c r="L8" s="628"/>
      <c r="M8" s="659"/>
      <c r="O8" s="649"/>
      <c r="P8" s="649"/>
      <c r="Q8" s="649"/>
    </row>
    <row r="9" spans="1:17">
      <c r="B9" s="632" t="s">
        <v>546</v>
      </c>
      <c r="C9" s="64" t="s">
        <v>90</v>
      </c>
      <c r="D9" s="320" t="str">
        <f>IF(Initial_questions!E$97="", IF(Initial_questions!E$95="", "User to enter in Initial Qus", Initial_questions!E$95), Initial_questions!E$97)</f>
        <v>User to enter in Initial Qus</v>
      </c>
      <c r="E9" s="623" t="str">
        <f>Biomass_Gasification_CCS!$N$9</f>
        <v/>
      </c>
      <c r="F9" s="626">
        <v>1</v>
      </c>
      <c r="G9" s="63">
        <f>Biomass_Gasification_CCS!S20</f>
        <v>0</v>
      </c>
      <c r="H9" s="61">
        <f>G9*$F$9</f>
        <v>0</v>
      </c>
      <c r="I9" s="663" t="str">
        <f>Biomass_Gasification_CCS!O9</f>
        <v/>
      </c>
      <c r="J9" s="623" t="str">
        <f>I9</f>
        <v/>
      </c>
      <c r="K9" s="62" t="e">
        <f>H9*$J$9</f>
        <v>#VALUE!</v>
      </c>
      <c r="L9" s="174" t="str" cm="1">
        <f t="array" ref="L9">IF(Initial_questions!$E$94="No", "Feedstock does not match default", IF(OR(Pathway=Units!$B$132:$B$133),'Default data'!$D$35,"Pathway not chosen"))</f>
        <v>Pathway not chosen</v>
      </c>
      <c r="M9" s="321" t="e">
        <f>IF(D9="Default",L9,K9)</f>
        <v>#VALUE!</v>
      </c>
      <c r="O9" s="168" t="str">
        <f>IF(Pathway=Units!$B$132,'Default data'!E$35,IF(Pathway=Units!$B$133, "Pathway not available from LCA tool","Pathway not chosen"))</f>
        <v>Pathway not chosen</v>
      </c>
      <c r="P9" s="168" t="str">
        <f>IF(Pathway=Units!$B$132,'Default data'!F$35,IF(Pathway=Units!$B$133, "Pathway not available from LCA tool","Pathway not chosen"))</f>
        <v>Pathway not chosen</v>
      </c>
      <c r="Q9" s="168" t="str">
        <f>IF(Pathway=Units!$B$132,'Default data'!G$35,IF(Pathway=Units!$B$133, "Pathway not available from LCA tool","Pathway not chosen"))</f>
        <v>Pathway not chosen</v>
      </c>
    </row>
    <row r="10" spans="1:17">
      <c r="B10" s="633"/>
      <c r="C10" s="64" t="s">
        <v>91</v>
      </c>
      <c r="D10" s="320" t="str">
        <f>IF(Initial_questions!E$98="", IF(Initial_questions!E$95="", "User to enter in Initial Qus", Initial_questions!E$95), Initial_questions!E$98)</f>
        <v>User to enter in Initial Qus</v>
      </c>
      <c r="E10" s="624"/>
      <c r="F10" s="627"/>
      <c r="G10" s="63">
        <f>Biomass_Gasification_CCS!S33</f>
        <v>0</v>
      </c>
      <c r="H10" s="61">
        <f t="shared" ref="H10:H14" si="5">G10*$F$9</f>
        <v>0</v>
      </c>
      <c r="I10" s="664"/>
      <c r="J10" s="624"/>
      <c r="K10" s="62" t="e">
        <f t="shared" ref="K10:K14" si="6">H10*$J$9</f>
        <v>#VALUE!</v>
      </c>
      <c r="L10" s="174" t="str" cm="1">
        <f t="array" ref="L10">IF(Initial_questions!$E$94="No", "Feedstock does not match default", IF(OR(Pathway=Units!$B$132:$B$133),'Default data'!$D$50,"Pathway not chosen"))</f>
        <v>Pathway not chosen</v>
      </c>
      <c r="M10" s="321" t="e">
        <f>IF(D10="Default",L10,K10)</f>
        <v>#VALUE!</v>
      </c>
      <c r="O10" s="168" t="str">
        <f>IF(Pathway=Units!$B$132,'Default data'!E$50,IF(Pathway=Units!$B$133, "Pathway not available from LCA tool","Pathway not chosen"))</f>
        <v>Pathway not chosen</v>
      </c>
      <c r="P10" s="168" t="str">
        <f>IF(Pathway=Units!$B$132,'Default data'!F$50,IF(Pathway=Units!$B$133, "Pathway not available from LCA tool","Pathway not chosen"))</f>
        <v>Pathway not chosen</v>
      </c>
      <c r="Q10" s="168" t="str">
        <f>IF(Pathway=Units!$B$132,'Default data'!G$50,IF(Pathway=Units!$B$133, "Pathway not available from LCA tool","Pathway not chosen"))</f>
        <v>Pathway not chosen</v>
      </c>
    </row>
    <row r="11" spans="1:17">
      <c r="B11" s="633"/>
      <c r="C11" s="64" t="s">
        <v>522</v>
      </c>
      <c r="D11" s="64" t="s">
        <v>523</v>
      </c>
      <c r="E11" s="624"/>
      <c r="F11" s="627"/>
      <c r="G11" s="63">
        <f>Biomass_Gasification_CCS!S45</f>
        <v>0</v>
      </c>
      <c r="H11" s="61">
        <f>G11*$F$9</f>
        <v>0</v>
      </c>
      <c r="I11" s="664"/>
      <c r="J11" s="624"/>
      <c r="K11" s="62" t="e">
        <f t="shared" si="6"/>
        <v>#VALUE!</v>
      </c>
      <c r="L11" s="59" t="s">
        <v>485</v>
      </c>
      <c r="M11" s="321" t="e">
        <f>IF(D11="Default",L11,K11)</f>
        <v>#VALUE!</v>
      </c>
      <c r="O11" s="168" t="str">
        <f>IF(Pathway=Units!$B$132,'Default data'!E$65,IF(Pathway=Units!$B$133, "Pathway not available from LCA tool","Pathway not chosen"))</f>
        <v>Pathway not chosen</v>
      </c>
      <c r="P11" s="168" t="str">
        <f>IF(Pathway=Units!$B$132,'Default data'!F$65,IF(Pathway=Units!$B$133, "Pathway not available from LCA tool","Pathway not chosen"))</f>
        <v>Pathway not chosen</v>
      </c>
      <c r="Q11" s="168" t="str">
        <f>IF(Pathway=Units!$B$132,'Default data'!G$65,IF(Pathway=Units!$B$133, "Pathway not available from LCA tool","Pathway not chosen"))</f>
        <v>Pathway not chosen</v>
      </c>
    </row>
    <row r="12" spans="1:17">
      <c r="B12" s="633"/>
      <c r="C12" s="96" t="s">
        <v>524</v>
      </c>
      <c r="D12" s="64" t="s">
        <v>523</v>
      </c>
      <c r="E12" s="624"/>
      <c r="F12" s="627"/>
      <c r="G12" s="63">
        <f>Biomass_Gasification_CCS!S52</f>
        <v>0</v>
      </c>
      <c r="H12" s="61">
        <f t="shared" si="5"/>
        <v>0</v>
      </c>
      <c r="I12" s="664"/>
      <c r="J12" s="624"/>
      <c r="K12" s="62" t="e">
        <f t="shared" si="6"/>
        <v>#VALUE!</v>
      </c>
      <c r="L12" s="59" t="s">
        <v>485</v>
      </c>
      <c r="M12" s="321" t="e">
        <f>IF(D12="Default",L12,K12)</f>
        <v>#VALUE!</v>
      </c>
      <c r="O12" s="168" t="str">
        <f>IF(Pathway=Units!$B$132,'Default data'!E$80,IF(Pathway=Units!$B$133, "Pathway not available from LCA tool","Pathway not chosen"))</f>
        <v>Pathway not chosen</v>
      </c>
      <c r="P12" s="168" t="str">
        <f>IF(Pathway=Units!$B$132,'Default data'!F$80,IF(Pathway=Units!$B$133, "Pathway not available from LCA tool","Pathway not chosen"))</f>
        <v>Pathway not chosen</v>
      </c>
      <c r="Q12" s="168" t="str">
        <f>IF(Pathway=Units!$B$132,'Default data'!G$80,IF(Pathway=Units!$B$133, "Pathway not available from LCA tool","Pathway not chosen"))</f>
        <v>Pathway not chosen</v>
      </c>
    </row>
    <row r="13" spans="1:17" ht="15.6">
      <c r="B13" s="633"/>
      <c r="C13" s="96" t="s">
        <v>525</v>
      </c>
      <c r="D13" s="64" t="s">
        <v>523</v>
      </c>
      <c r="E13" s="624"/>
      <c r="F13" s="627"/>
      <c r="G13" s="63">
        <f>Biomass_Gasification_CCS!S60</f>
        <v>0</v>
      </c>
      <c r="H13" s="61">
        <f t="shared" si="5"/>
        <v>0</v>
      </c>
      <c r="I13" s="664"/>
      <c r="J13" s="624"/>
      <c r="K13" s="62" t="e">
        <f t="shared" si="6"/>
        <v>#VALUE!</v>
      </c>
      <c r="L13" s="59" t="s">
        <v>485</v>
      </c>
      <c r="M13" s="321" t="e">
        <f t="shared" ref="M13" si="7">IF(D13="Default",L13,K13)</f>
        <v>#VALUE!</v>
      </c>
      <c r="O13" s="168" t="str">
        <f>IF(Pathway=Units!$B$132,'Default data'!E$95,IF(Pathway=Units!$B$133, "Pathway not available from LCA tool","Pathway not chosen"))</f>
        <v>Pathway not chosen</v>
      </c>
      <c r="P13" s="168" t="str">
        <f>IF(Pathway=Units!$B$132,'Default data'!F$95,IF(Pathway=Units!$B$133, "Pathway not available from LCA tool","Pathway not chosen"))</f>
        <v>Pathway not chosen</v>
      </c>
      <c r="Q13" s="168" t="str">
        <f>IF(Pathway=Units!$B$132,'Default data'!G$95,IF(Pathway=Units!$B$133, "Pathway not available from LCA tool","Pathway not chosen"))</f>
        <v>Pathway not chosen</v>
      </c>
    </row>
    <row r="14" spans="1:17" ht="15.6">
      <c r="B14" s="634"/>
      <c r="C14" s="64" t="s">
        <v>526</v>
      </c>
      <c r="D14" s="64" t="s">
        <v>523</v>
      </c>
      <c r="E14" s="625"/>
      <c r="F14" s="628"/>
      <c r="G14" s="63">
        <f>Biomass_Gasification_CCS!S67</f>
        <v>0</v>
      </c>
      <c r="H14" s="61">
        <f t="shared" si="5"/>
        <v>0</v>
      </c>
      <c r="I14" s="665"/>
      <c r="J14" s="625"/>
      <c r="K14" s="62" t="e">
        <f t="shared" si="6"/>
        <v>#VALUE!</v>
      </c>
      <c r="L14" s="59" t="s">
        <v>485</v>
      </c>
      <c r="M14" s="321" t="e">
        <f>IF(D14="Default",L14,K14)</f>
        <v>#VALUE!</v>
      </c>
      <c r="O14" s="168" t="str">
        <f>IF(Pathway=Units!$B$132,'Default data'!E$110,IF(Pathway=Units!$B$133, "Pathway not available from LCA tool","Pathway not chosen"))</f>
        <v>Pathway not chosen</v>
      </c>
      <c r="P14" s="168" t="str">
        <f>IF(Pathway=Units!$B$132,'Default data'!F$110,IF(Pathway=Units!$B$133, "Pathway not available from LCA tool","Pathway not chosen"))</f>
        <v>Pathway not chosen</v>
      </c>
      <c r="Q14" s="168" t="str">
        <f>IF(Pathway=Units!$B$132,'Default data'!G$110,IF(Pathway=Units!$B$133, "Pathway not available from LCA tool","Pathway not chosen"))</f>
        <v>Pathway not chosen</v>
      </c>
    </row>
    <row r="15" spans="1:17" ht="28.8">
      <c r="B15" s="64" t="s">
        <v>527</v>
      </c>
      <c r="C15" s="635" t="s">
        <v>528</v>
      </c>
      <c r="D15" s="579" t="s">
        <v>957</v>
      </c>
      <c r="E15" s="65"/>
      <c r="F15" s="65"/>
      <c r="G15" s="65"/>
      <c r="H15" s="65"/>
      <c r="I15" s="65"/>
      <c r="J15" s="65"/>
      <c r="K15" s="65"/>
      <c r="L15" s="550" t="str">
        <f>'Default data'!$D$146</f>
        <v>Yet to provide pressure or electricity source</v>
      </c>
      <c r="M15" s="549" t="str">
        <f>L15</f>
        <v>Yet to provide pressure or electricity source</v>
      </c>
      <c r="O15" s="168" t="s">
        <v>730</v>
      </c>
      <c r="P15" s="168" t="s">
        <v>730</v>
      </c>
      <c r="Q15" s="168" t="s">
        <v>730</v>
      </c>
    </row>
    <row r="16" spans="1:17" ht="28.8">
      <c r="B16" s="64" t="s">
        <v>530</v>
      </c>
      <c r="C16" s="636"/>
      <c r="D16" s="579" t="s">
        <v>958</v>
      </c>
      <c r="E16" s="65"/>
      <c r="F16" s="65"/>
      <c r="G16" s="65"/>
      <c r="H16" s="65"/>
      <c r="I16" s="65"/>
      <c r="J16" s="65"/>
      <c r="K16" s="65"/>
      <c r="L16" s="552" t="str">
        <f>'Default data'!$D$164</f>
        <v>Yet to provide electricity source</v>
      </c>
      <c r="M16" s="549" t="str">
        <f>L16</f>
        <v>Yet to provide electricity source</v>
      </c>
      <c r="O16" s="168" t="s">
        <v>730</v>
      </c>
      <c r="P16" s="168" t="s">
        <v>730</v>
      </c>
      <c r="Q16" s="168" t="s">
        <v>730</v>
      </c>
    </row>
    <row r="17" spans="2:17">
      <c r="O17" s="56"/>
    </row>
    <row r="18" spans="2:17" ht="18">
      <c r="B18" s="100" t="s">
        <v>532</v>
      </c>
      <c r="C18" s="101"/>
      <c r="D18" s="101"/>
      <c r="E18" s="102">
        <f>PRODUCT(E3:E16)</f>
        <v>0</v>
      </c>
      <c r="F18" s="103"/>
      <c r="G18" s="103"/>
      <c r="H18" s="103"/>
      <c r="I18" s="104"/>
      <c r="J18" s="104"/>
      <c r="K18" s="104"/>
      <c r="L18" s="104"/>
      <c r="M18" s="105" t="str">
        <f>IF(COUNTIF(M3:M16,"*")&gt;0,"Pathway not chosen",SUM(M3:M16))</f>
        <v>Pathway not chosen</v>
      </c>
      <c r="N18" s="56"/>
      <c r="O18" s="168" t="str">
        <f>IF(Pathway=Units!$B$132,'Default data'!E$125,IF(Pathway=Units!$B$133, "Pathway not available from LCA tool","Pathway not chosen"))</f>
        <v>Pathway not chosen</v>
      </c>
      <c r="P18" s="168" t="str">
        <f>IF(Pathway=Units!$B$132,'Default data'!F$125,IF(Pathway=Units!$B$133, "Pathway not available from LCA tool","Pathway not chosen"))</f>
        <v>Pathway not chosen</v>
      </c>
      <c r="Q18" s="168" t="str">
        <f>IF(Pathway=Units!$B$132,'Default data'!G$125,IF(Pathway=Units!$B$133, "Pathway not available from LCA tool","Pathway not chosen"))</f>
        <v>Pathway not chosen</v>
      </c>
    </row>
    <row r="19" spans="2:17" ht="18">
      <c r="B19" s="100" t="s">
        <v>533</v>
      </c>
      <c r="C19" s="101"/>
      <c r="D19" s="101"/>
      <c r="E19" s="104"/>
      <c r="F19" s="104"/>
      <c r="G19" s="104"/>
      <c r="H19" s="104"/>
      <c r="I19" s="104"/>
      <c r="J19" s="104"/>
      <c r="K19" s="104"/>
      <c r="L19" s="104"/>
      <c r="M19" s="106">
        <v>20</v>
      </c>
      <c r="O19" s="646" t="s">
        <v>547</v>
      </c>
      <c r="P19" s="646"/>
      <c r="Q19" s="646"/>
    </row>
    <row r="20" spans="2:17">
      <c r="O20" s="646"/>
      <c r="P20" s="646"/>
      <c r="Q20" s="646"/>
    </row>
    <row r="21" spans="2:17">
      <c r="O21" s="646"/>
      <c r="P21" s="646"/>
      <c r="Q21" s="646"/>
    </row>
    <row r="23" spans="2:17">
      <c r="O23" s="281"/>
    </row>
  </sheetData>
  <customSheetViews>
    <customSheetView guid="{43B6AE9C-E429-4506-98F3-C388B54AB8B6}" showGridLines="0" state="hidden">
      <pane xSplit="3" topLeftCell="D1" activePane="topRight" state="frozen"/>
      <selection pane="topRight"/>
      <pageMargins left="0" right="0" top="0" bottom="0" header="0" footer="0"/>
      <pageSetup paperSize="9" orientation="portrait" r:id="rId1"/>
    </customSheetView>
    <customSheetView guid="{D41C0D8C-591E-4B34-99B3-B45BA51A58EC}" showGridLines="0" state="hidden">
      <pane xSplit="3" topLeftCell="D1" activePane="topRight" state="frozen"/>
      <selection pane="topRight"/>
      <pageMargins left="0" right="0" top="0" bottom="0" header="0" footer="0"/>
      <pageSetup paperSize="9" orientation="portrait" r:id="rId2"/>
    </customSheetView>
    <customSheetView guid="{8F590910-6C03-4233-9C41-6540BF2DE453}" showGridLines="0" state="hidden">
      <pane xSplit="3" topLeftCell="D1" activePane="topRight" state="frozen"/>
      <selection pane="topRight"/>
      <pageMargins left="0" right="0" top="0" bottom="0" header="0" footer="0"/>
      <pageSetup paperSize="9" orientation="portrait" r:id="rId3"/>
    </customSheetView>
    <customSheetView guid="{55CEC4CC-9BBF-4F2D-BA17-E94F4B26FAC5}" showGridLines="0" state="hidden">
      <pane xSplit="3" topLeftCell="D1" activePane="topRight" state="frozen"/>
      <selection pane="topRight"/>
      <pageMargins left="0" right="0" top="0" bottom="0" header="0" footer="0"/>
      <pageSetup paperSize="9" orientation="portrait" r:id="rId4"/>
    </customSheetView>
    <customSheetView guid="{7735C88E-3A13-4DCF-BB32-4D20A306A8BB}" showGridLines="0">
      <pane xSplit="3" topLeftCell="D1" activePane="topRight" state="frozen"/>
      <selection pane="topRight"/>
      <pageMargins left="0" right="0" top="0" bottom="0" header="0" footer="0"/>
      <pageSetup paperSize="9" orientation="portrait" r:id="rId5"/>
    </customSheetView>
    <customSheetView guid="{27B9E3C6-8189-41E0-896B-02A30393FDC0}" showGridLines="0" state="hidden">
      <pane xSplit="3" topLeftCell="D1" activePane="topRight" state="frozen"/>
      <selection pane="topRight"/>
      <pageMargins left="0" right="0" top="0" bottom="0" header="0" footer="0"/>
      <pageSetup paperSize="9" orientation="portrait" r:id="rId6"/>
    </customSheetView>
    <customSheetView guid="{ED9AC919-98EB-43A3-A158-23FD7D007D30}" showGridLines="0">
      <pane xSplit="3" topLeftCell="D1" activePane="topRight" state="frozen"/>
      <selection pane="topRight" activeCell="D1" sqref="D1"/>
      <pageMargins left="0" right="0" top="0" bottom="0" header="0" footer="0"/>
      <pageSetup paperSize="9" orientation="portrait" r:id="rId7"/>
    </customSheetView>
  </customSheetViews>
  <mergeCells count="14">
    <mergeCell ref="O19:Q21"/>
    <mergeCell ref="B9:B14"/>
    <mergeCell ref="E9:E14"/>
    <mergeCell ref="O5:O8"/>
    <mergeCell ref="P5:P8"/>
    <mergeCell ref="Q5:Q8"/>
    <mergeCell ref="L5:L8"/>
    <mergeCell ref="F9:F14"/>
    <mergeCell ref="I9:I14"/>
    <mergeCell ref="J9:J14"/>
    <mergeCell ref="C15:C16"/>
    <mergeCell ref="C3:C8"/>
    <mergeCell ref="D5:D8"/>
    <mergeCell ref="M3:M8"/>
  </mergeCells>
  <pageMargins left="0" right="0" top="0" bottom="0" header="0" footer="0"/>
  <pageSetup paperSize="9" orientation="portrait" r:id="rId8"/>
  <extLst>
    <ext xmlns:x14="http://schemas.microsoft.com/office/spreadsheetml/2009/9/main" uri="{78C0D931-6437-407d-A8EE-F0AAD7539E65}">
      <x14:conditionalFormattings>
        <x14:conditionalFormatting xmlns:xm="http://schemas.microsoft.com/office/excel/2006/main">
          <x14:cfRule type="expression" priority="19" id="{195A97A3-B836-469D-A109-FAA6D705B23D}">
            <xm:f>AND(Initial_questions!$E$21&lt;&gt;"Biomass Gasification with CCS",Initial_questions!$E$21&lt;&gt;"Biomass Gasification without CCS",Master_Switch="On")</xm:f>
            <x14:dxf>
              <font>
                <color theme="0"/>
              </font>
              <fill>
                <patternFill patternType="solid">
                  <fgColor theme="0"/>
                  <bgColor theme="0"/>
                </patternFill>
              </fill>
              <border>
                <left/>
                <right/>
                <top/>
                <bottom/>
                <vertical/>
                <horizontal/>
              </border>
            </x14:dxf>
          </x14:cfRule>
          <xm:sqref>A2:XFD100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907DF-AE51-4A22-8FF0-00E11C39E3E5}">
  <sheetPr codeName="Sheet14">
    <tabColor rgb="FFFF66CC"/>
  </sheetPr>
  <dimension ref="A1:Q46"/>
  <sheetViews>
    <sheetView showGridLines="0" zoomScaleNormal="100" workbookViewId="0">
      <pane xSplit="3" topLeftCell="D1" activePane="topRight" state="frozen"/>
      <selection pane="topRight"/>
    </sheetView>
  </sheetViews>
  <sheetFormatPr defaultColWidth="8.88671875" defaultRowHeight="14.4"/>
  <cols>
    <col min="1" max="1" width="4.5546875" customWidth="1"/>
    <col min="2" max="2" width="32.44140625" customWidth="1"/>
    <col min="3" max="3" width="30.5546875" customWidth="1"/>
    <col min="4" max="4" width="29.33203125" customWidth="1"/>
    <col min="5" max="5" width="15.88671875" customWidth="1"/>
    <col min="6" max="6" width="31.88671875" customWidth="1"/>
    <col min="7" max="7" width="28.5546875" customWidth="1"/>
    <col min="8" max="8" width="30.44140625" customWidth="1"/>
    <col min="9" max="10" width="26.88671875" customWidth="1"/>
    <col min="11" max="11" width="35.109375" customWidth="1"/>
    <col min="12" max="12" width="20.88671875" customWidth="1"/>
    <col min="13" max="13" width="29" customWidth="1"/>
    <col min="15" max="15" width="30.109375" customWidth="1"/>
    <col min="16" max="16" width="28.88671875" customWidth="1"/>
    <col min="17" max="17" width="28.5546875" customWidth="1"/>
  </cols>
  <sheetData>
    <row r="1" spans="1:17" ht="31.2">
      <c r="A1" s="83" t="str">
        <f>IF(AND(Initial_questions!$E$21&lt;&gt;"Waste Gasification with CCS",Initial_questions!$E$21&lt;&gt;"Waste Gasification without CCS",Master_Switch="On"),"User should not use this worksheet, but switch to a non-blank GHG summary worksheets","")</f>
        <v>User should not use this worksheet, but switch to a non-blank GHG summary worksheets</v>
      </c>
    </row>
    <row r="2" spans="1:17" s="282" customFormat="1">
      <c r="B2" s="166" t="s">
        <v>791</v>
      </c>
      <c r="C2" s="166"/>
      <c r="I2" s="283"/>
    </row>
    <row r="4" spans="1:17" ht="84.6" customHeight="1">
      <c r="B4" s="109" t="s">
        <v>510</v>
      </c>
      <c r="C4" s="109" t="s">
        <v>511</v>
      </c>
      <c r="D4" s="109" t="s">
        <v>512</v>
      </c>
      <c r="E4" s="109" t="s">
        <v>513</v>
      </c>
      <c r="F4" s="109" t="s">
        <v>514</v>
      </c>
      <c r="G4" s="109" t="s">
        <v>515</v>
      </c>
      <c r="H4" s="109" t="s">
        <v>516</v>
      </c>
      <c r="I4" s="109" t="s">
        <v>517</v>
      </c>
      <c r="J4" s="109" t="s">
        <v>518</v>
      </c>
      <c r="K4" s="109" t="s">
        <v>519</v>
      </c>
      <c r="L4" s="109" t="s">
        <v>520</v>
      </c>
      <c r="M4" s="109" t="s">
        <v>521</v>
      </c>
      <c r="O4" s="179" t="s">
        <v>737</v>
      </c>
      <c r="P4" s="179" t="s">
        <v>738</v>
      </c>
      <c r="Q4" s="179" t="s">
        <v>739</v>
      </c>
    </row>
    <row r="5" spans="1:17">
      <c r="B5" s="64" t="s">
        <v>59</v>
      </c>
      <c r="C5" s="632" t="s">
        <v>540</v>
      </c>
      <c r="D5" s="652" t="str">
        <f>IF(Initial_questions!E$96="", IF(Initial_questions!E$95="", "User to enter in Initial Qus", Initial_questions!E$95), Initial_questions!E$96)</f>
        <v>User to enter in Initial Qus</v>
      </c>
      <c r="E5" s="60" t="str">
        <f>Waste_Collection!N20</f>
        <v>NA</v>
      </c>
      <c r="F5" s="174" t="e">
        <f>F6/E6</f>
        <v>#VALUE!</v>
      </c>
      <c r="G5" s="63">
        <f>Waste_Collection!S33</f>
        <v>0</v>
      </c>
      <c r="H5" s="61" t="e">
        <f t="shared" ref="H5:H8" si="0">G5*F5</f>
        <v>#VALUE!</v>
      </c>
      <c r="I5" s="322" t="str">
        <f>Waste_Collection!O20</f>
        <v/>
      </c>
      <c r="J5" s="60" t="e">
        <f t="shared" ref="J5:J6" si="1">J6*I5</f>
        <v>#VALUE!</v>
      </c>
      <c r="K5" s="62" t="e">
        <f t="shared" ref="K5:K8" si="2">H5*J5</f>
        <v>#VALUE!</v>
      </c>
      <c r="L5" s="655" t="str" cm="1">
        <f t="array" ref="L5">IF(Initial_questions!$E$94="No", "Feedstock does not match default", IF(OR(Pathway=Units!$B$134:$B$135),'Default data'!$D$21,"Pathway not chosen"))</f>
        <v>Pathway not chosen</v>
      </c>
      <c r="M5" s="657" t="e">
        <f>IF($D$5="Default",L5,SUM(K5:K8))</f>
        <v>#VALUE!</v>
      </c>
      <c r="O5" s="647" t="str">
        <f>IF(Pathway=Units!$B$134,'Default data'!E$21,IF(Pathway=Units!$B$135, "Pathway not available from LCA tool","Pathway not chosen"))</f>
        <v>Pathway not chosen</v>
      </c>
      <c r="P5" s="647" t="str">
        <f>IF(Pathway=Units!$B$134,'Default data'!F$21,IF(Pathway=Units!$B$135, "Pathway not available from LCA tool","Pathway not chosen"))</f>
        <v>Pathway not chosen</v>
      </c>
      <c r="Q5" s="647" t="str">
        <f>IF(Pathway=Units!$B$134,'Default data'!G$21,IF(Pathway=Units!$B$135, "Pathway not available from LCA tool","Pathway not chosen"))</f>
        <v>Pathway not chosen</v>
      </c>
    </row>
    <row r="6" spans="1:17">
      <c r="B6" s="64" t="s">
        <v>60</v>
      </c>
      <c r="C6" s="633"/>
      <c r="D6" s="653"/>
      <c r="E6" s="60" t="str">
        <f>Waste_Transport!N20</f>
        <v/>
      </c>
      <c r="F6" s="174" t="e">
        <f>F7/E7</f>
        <v>#VALUE!</v>
      </c>
      <c r="G6" s="63">
        <f>Waste_Transport!S33</f>
        <v>0</v>
      </c>
      <c r="H6" s="61" t="e">
        <f t="shared" si="0"/>
        <v>#VALUE!</v>
      </c>
      <c r="I6" s="322" t="str">
        <f>Waste_Transport!O20</f>
        <v/>
      </c>
      <c r="J6" s="60" t="e">
        <f t="shared" si="1"/>
        <v>#VALUE!</v>
      </c>
      <c r="K6" s="62" t="e">
        <f t="shared" si="2"/>
        <v>#VALUE!</v>
      </c>
      <c r="L6" s="656"/>
      <c r="M6" s="658"/>
      <c r="O6" s="648"/>
      <c r="P6" s="648"/>
      <c r="Q6" s="648"/>
    </row>
    <row r="7" spans="1:17">
      <c r="B7" s="64" t="s">
        <v>61</v>
      </c>
      <c r="C7" s="633"/>
      <c r="D7" s="653"/>
      <c r="E7" s="60" t="str">
        <f>'Waste_Pre-Processing'!N20</f>
        <v/>
      </c>
      <c r="F7" s="174" t="e">
        <f>F8/E8</f>
        <v>#VALUE!</v>
      </c>
      <c r="G7" s="63">
        <f>'Waste_Pre-Processing'!S46</f>
        <v>0</v>
      </c>
      <c r="H7" s="61" t="e">
        <f t="shared" si="0"/>
        <v>#VALUE!</v>
      </c>
      <c r="I7" s="322" t="str">
        <f>'Waste_Pre-Processing'!O20</f>
        <v/>
      </c>
      <c r="J7" s="60" t="e">
        <f>J8*I7</f>
        <v>#VALUE!</v>
      </c>
      <c r="K7" s="62" t="e">
        <f t="shared" si="2"/>
        <v>#VALUE!</v>
      </c>
      <c r="L7" s="656"/>
      <c r="M7" s="658"/>
      <c r="O7" s="648"/>
      <c r="P7" s="648"/>
      <c r="Q7" s="648"/>
    </row>
    <row r="8" spans="1:17">
      <c r="B8" s="64" t="s">
        <v>62</v>
      </c>
      <c r="C8" s="634"/>
      <c r="D8" s="654"/>
      <c r="E8" s="60" t="str">
        <f>Waste_Further_Transport!N20</f>
        <v/>
      </c>
      <c r="F8" s="174" t="e">
        <f>F9/E9</f>
        <v>#VALUE!</v>
      </c>
      <c r="G8" s="63">
        <f>Waste_Further_Transport!S33</f>
        <v>0</v>
      </c>
      <c r="H8" s="61" t="e">
        <f t="shared" si="0"/>
        <v>#VALUE!</v>
      </c>
      <c r="I8" s="322" t="str">
        <f>Waste_Further_Transport!O20</f>
        <v/>
      </c>
      <c r="J8" s="60" t="e">
        <f>J9*I8</f>
        <v>#VALUE!</v>
      </c>
      <c r="K8" s="62" t="e">
        <f t="shared" si="2"/>
        <v>#VALUE!</v>
      </c>
      <c r="L8" s="656"/>
      <c r="M8" s="659"/>
      <c r="O8" s="649"/>
      <c r="P8" s="649"/>
      <c r="Q8" s="649"/>
    </row>
    <row r="9" spans="1:17">
      <c r="B9" s="632" t="s">
        <v>548</v>
      </c>
      <c r="C9" s="64" t="s">
        <v>90</v>
      </c>
      <c r="D9" s="320" t="str">
        <f>IF(Initial_questions!E$97="", IF(Initial_questions!E$95="", "User to enter in Initial Qus", Initial_questions!E$95), Initial_questions!E$97)</f>
        <v>User to enter in Initial Qus</v>
      </c>
      <c r="E9" s="623" t="str">
        <f>Waste_Gasification_CCS!$N$9</f>
        <v/>
      </c>
      <c r="F9" s="626">
        <v>1</v>
      </c>
      <c r="G9" s="63">
        <f>Waste_Gasification_CCS!S20</f>
        <v>0</v>
      </c>
      <c r="H9" s="61">
        <f>G9*$F$9</f>
        <v>0</v>
      </c>
      <c r="I9" s="663" t="str">
        <f>Waste_Gasification_CCS!O9</f>
        <v/>
      </c>
      <c r="J9" s="623" t="str">
        <f>I9</f>
        <v/>
      </c>
      <c r="K9" s="62" t="e">
        <f>H9*$J$9</f>
        <v>#VALUE!</v>
      </c>
      <c r="L9" s="174" t="str" cm="1">
        <f t="array" ref="L9">IF(Initial_questions!$E$94="No", "Feedstock does not match default", IF(OR(Pathway=Units!$B$134:$B$135),'Default data'!$D$36,"Pathway not chosen"))</f>
        <v>Pathway not chosen</v>
      </c>
      <c r="M9" s="321" t="e">
        <f>IF(D9="Default",L9,K9)</f>
        <v>#VALUE!</v>
      </c>
      <c r="O9" s="168" t="str">
        <f>IF(Pathway=Units!$B$134,'Default data'!E$36,IF(Pathway=Units!$B$135, "Pathway not available from LCA tool","Pathway not chosen"))</f>
        <v>Pathway not chosen</v>
      </c>
      <c r="P9" s="168" t="str">
        <f>IF(Pathway=Units!$B$134,'Default data'!F$36,IF(Pathway=Units!$B$135, "Pathway not available from LCA tool","Pathway not chosen"))</f>
        <v>Pathway not chosen</v>
      </c>
      <c r="Q9" s="168" t="str">
        <f>IF(Pathway=Units!$B$134,'Default data'!G$36,IF(Pathway=Units!$B$135, "Pathway not available from LCA tool","Pathway not chosen"))</f>
        <v>Pathway not chosen</v>
      </c>
    </row>
    <row r="10" spans="1:17">
      <c r="B10" s="633"/>
      <c r="C10" s="64" t="s">
        <v>91</v>
      </c>
      <c r="D10" s="320" t="str">
        <f>IF(Initial_questions!E$98="", IF(Initial_questions!E$95="", "User to enter in Initial Qus", Initial_questions!E$95), Initial_questions!E$98)</f>
        <v>User to enter in Initial Qus</v>
      </c>
      <c r="E10" s="624"/>
      <c r="F10" s="627"/>
      <c r="G10" s="63">
        <f>Waste_Gasification_CCS!S33</f>
        <v>0</v>
      </c>
      <c r="H10" s="61">
        <f t="shared" ref="H10:H14" si="3">G10*$F$9</f>
        <v>0</v>
      </c>
      <c r="I10" s="664"/>
      <c r="J10" s="624"/>
      <c r="K10" s="62" t="e">
        <f t="shared" ref="K10:K14" si="4">H10*$J$9</f>
        <v>#VALUE!</v>
      </c>
      <c r="L10" s="174" t="str" cm="1">
        <f t="array" ref="L10">IF(Initial_questions!$E$94="No", "Feedstock does not match default", IF(OR(Pathway=Units!$B$134:$B$135),'Default data'!$D$51,"Pathway not chosen"))</f>
        <v>Pathway not chosen</v>
      </c>
      <c r="M10" s="321" t="e">
        <f>IF(D10="Default",L10,K10)</f>
        <v>#VALUE!</v>
      </c>
      <c r="O10" s="168" t="str">
        <f>IF(Pathway=Units!$B$134,'Default data'!$E$51,IF(Pathway=Units!$B$135, "Pathway not available from LCA tool","Pathway not chosen"))</f>
        <v>Pathway not chosen</v>
      </c>
      <c r="P10" s="168" t="str">
        <f>IF(Pathway=Units!$B$134,'Default data'!$E$51,IF(Pathway=Units!$B$135, "Pathway not available from LCA tool","Pathway not chosen"))</f>
        <v>Pathway not chosen</v>
      </c>
      <c r="Q10" s="168" t="str">
        <f>IF(Pathway=Units!$B$134,'Default data'!$E$51,IF(Pathway=Units!$B$135, "Pathway not available from LCA tool","Pathway not chosen"))</f>
        <v>Pathway not chosen</v>
      </c>
    </row>
    <row r="11" spans="1:17">
      <c r="B11" s="633"/>
      <c r="C11" s="64" t="s">
        <v>522</v>
      </c>
      <c r="D11" s="64" t="s">
        <v>523</v>
      </c>
      <c r="E11" s="624"/>
      <c r="F11" s="627"/>
      <c r="G11" s="63">
        <f>Waste_Gasification_CCS!S46</f>
        <v>0</v>
      </c>
      <c r="H11" s="61">
        <f>G11*$F$9</f>
        <v>0</v>
      </c>
      <c r="I11" s="664"/>
      <c r="J11" s="624"/>
      <c r="K11" s="62" t="e">
        <f t="shared" si="4"/>
        <v>#VALUE!</v>
      </c>
      <c r="L11" s="59" t="s">
        <v>485</v>
      </c>
      <c r="M11" s="321" t="e">
        <f>IF(D11="Default",L11,K11)</f>
        <v>#VALUE!</v>
      </c>
      <c r="O11" s="168" t="str">
        <f>IF(Pathway=Units!$B$134,'Default data'!$E$66,IF(Pathway=Units!$B$135, "Pathway not available from LCA tool","Pathway not chosen"))</f>
        <v>Pathway not chosen</v>
      </c>
      <c r="P11" s="168" t="str">
        <f>IF(Pathway=Units!$B$134,'Default data'!$E$66,IF(Pathway=Units!$B$135, "Pathway not available from LCA tool","Pathway not chosen"))</f>
        <v>Pathway not chosen</v>
      </c>
      <c r="Q11" s="168" t="str">
        <f>IF(Pathway=Units!$B$134,'Default data'!$E$66,IF(Pathway=Units!$B$135, "Pathway not available from LCA tool","Pathway not chosen"))</f>
        <v>Pathway not chosen</v>
      </c>
    </row>
    <row r="12" spans="1:17">
      <c r="B12" s="633"/>
      <c r="C12" s="96" t="s">
        <v>524</v>
      </c>
      <c r="D12" s="64" t="s">
        <v>523</v>
      </c>
      <c r="E12" s="624"/>
      <c r="F12" s="627"/>
      <c r="G12" s="63">
        <f>Waste_Gasification_CCS!S64</f>
        <v>0</v>
      </c>
      <c r="H12" s="61">
        <f t="shared" si="3"/>
        <v>0</v>
      </c>
      <c r="I12" s="664"/>
      <c r="J12" s="624"/>
      <c r="K12" s="62" t="e">
        <f t="shared" si="4"/>
        <v>#VALUE!</v>
      </c>
      <c r="L12" s="59" t="s">
        <v>485</v>
      </c>
      <c r="M12" s="321" t="e">
        <f>IF(D12="Default",L12,K12)</f>
        <v>#VALUE!</v>
      </c>
      <c r="O12" s="168" t="str">
        <f>IF(Pathway=Units!$B$134,'Default data'!$E$81,IF(Pathway=Units!$B$135, "Pathway not available from LCA tool","Pathway not chosen"))</f>
        <v>Pathway not chosen</v>
      </c>
      <c r="P12" s="168" t="str">
        <f>IF(Pathway=Units!$B$134,'Default data'!$E$81,IF(Pathway=Units!$B$135, "Pathway not available from LCA tool","Pathway not chosen"))</f>
        <v>Pathway not chosen</v>
      </c>
      <c r="Q12" s="168" t="str">
        <f>IF(Pathway=Units!$B$134,'Default data'!$E$81,IF(Pathway=Units!$B$135, "Pathway not available from LCA tool","Pathway not chosen"))</f>
        <v>Pathway not chosen</v>
      </c>
    </row>
    <row r="13" spans="1:17" ht="15.6">
      <c r="B13" s="633"/>
      <c r="C13" s="96" t="s">
        <v>525</v>
      </c>
      <c r="D13" s="64" t="s">
        <v>523</v>
      </c>
      <c r="E13" s="624"/>
      <c r="F13" s="627"/>
      <c r="G13" s="63">
        <f>Waste_Gasification_CCS!S73</f>
        <v>0</v>
      </c>
      <c r="H13" s="61">
        <f t="shared" si="3"/>
        <v>0</v>
      </c>
      <c r="I13" s="664"/>
      <c r="J13" s="624"/>
      <c r="K13" s="62" t="e">
        <f t="shared" si="4"/>
        <v>#VALUE!</v>
      </c>
      <c r="L13" s="59" t="s">
        <v>485</v>
      </c>
      <c r="M13" s="321" t="e">
        <f t="shared" ref="M13" si="5">IF(D13="Default",L13,K13)</f>
        <v>#VALUE!</v>
      </c>
      <c r="O13" s="168" t="str">
        <f>IF(Pathway=Units!$B$134,'Default data'!$E$96,IF(Pathway=Units!$B$135, "Pathway not available from LCA tool","Pathway not chosen"))</f>
        <v>Pathway not chosen</v>
      </c>
      <c r="P13" s="168" t="str">
        <f>IF(Pathway=Units!$B$134,'Default data'!$E$96,IF(Pathway=Units!$B$135, "Pathway not available from LCA tool","Pathway not chosen"))</f>
        <v>Pathway not chosen</v>
      </c>
      <c r="Q13" s="168" t="str">
        <f>IF(Pathway=Units!$B$134,'Default data'!$E$96,IF(Pathway=Units!$B$135, "Pathway not available from LCA tool","Pathway not chosen"))</f>
        <v>Pathway not chosen</v>
      </c>
    </row>
    <row r="14" spans="1:17" ht="15.6">
      <c r="B14" s="634"/>
      <c r="C14" s="64" t="s">
        <v>526</v>
      </c>
      <c r="D14" s="64" t="s">
        <v>523</v>
      </c>
      <c r="E14" s="625"/>
      <c r="F14" s="628"/>
      <c r="G14" s="63">
        <f>Waste_Gasification_CCS!S91</f>
        <v>0</v>
      </c>
      <c r="H14" s="61">
        <f t="shared" si="3"/>
        <v>0</v>
      </c>
      <c r="I14" s="665"/>
      <c r="J14" s="625"/>
      <c r="K14" s="62" t="e">
        <f t="shared" si="4"/>
        <v>#VALUE!</v>
      </c>
      <c r="L14" s="59" t="s">
        <v>485</v>
      </c>
      <c r="M14" s="321" t="e">
        <f>IF(D14="Default",L14,K14)</f>
        <v>#VALUE!</v>
      </c>
      <c r="O14" s="168" t="str">
        <f>IF(Pathway=Units!$B$134,'Default data'!$E$111,IF(Pathway=Units!$B$135, "Pathway not available from LCA tool","Pathway not chosen"))</f>
        <v>Pathway not chosen</v>
      </c>
      <c r="P14" s="168" t="str">
        <f>IF(Pathway=Units!$B$134,'Default data'!$E$111,IF(Pathway=Units!$B$135, "Pathway not available from LCA tool","Pathway not chosen"))</f>
        <v>Pathway not chosen</v>
      </c>
      <c r="Q14" s="168" t="str">
        <f>IF(Pathway=Units!$B$134,'Default data'!$E$111,IF(Pathway=Units!$B$135, "Pathway not available from LCA tool","Pathway not chosen"))</f>
        <v>Pathway not chosen</v>
      </c>
    </row>
    <row r="15" spans="1:17" ht="28.8">
      <c r="B15" s="64" t="s">
        <v>527</v>
      </c>
      <c r="C15" s="635" t="s">
        <v>528</v>
      </c>
      <c r="D15" s="579" t="s">
        <v>957</v>
      </c>
      <c r="E15" s="28"/>
      <c r="F15" s="28"/>
      <c r="G15" s="28"/>
      <c r="H15" s="28"/>
      <c r="I15" s="28"/>
      <c r="J15" s="28"/>
      <c r="K15" s="28"/>
      <c r="L15" s="550" t="str">
        <f>'Default data'!$D$146</f>
        <v>Yet to provide pressure or electricity source</v>
      </c>
      <c r="M15" s="549" t="str">
        <f>L15</f>
        <v>Yet to provide pressure or electricity source</v>
      </c>
      <c r="O15" s="168" t="s">
        <v>730</v>
      </c>
      <c r="P15" s="168" t="s">
        <v>730</v>
      </c>
      <c r="Q15" s="168" t="s">
        <v>730</v>
      </c>
    </row>
    <row r="16" spans="1:17" ht="28.8">
      <c r="B16" s="64" t="s">
        <v>530</v>
      </c>
      <c r="C16" s="636"/>
      <c r="D16" s="579" t="s">
        <v>958</v>
      </c>
      <c r="E16" s="28"/>
      <c r="F16" s="28"/>
      <c r="G16" s="28"/>
      <c r="H16" s="28"/>
      <c r="I16" s="28"/>
      <c r="J16" s="28"/>
      <c r="K16" s="28"/>
      <c r="L16" s="551" t="str">
        <f>'Default data'!$D$164</f>
        <v>Yet to provide electricity source</v>
      </c>
      <c r="M16" s="549" t="str">
        <f>L16</f>
        <v>Yet to provide electricity source</v>
      </c>
      <c r="O16" s="168" t="s">
        <v>730</v>
      </c>
      <c r="P16" s="168" t="s">
        <v>730</v>
      </c>
      <c r="Q16" s="168" t="s">
        <v>730</v>
      </c>
    </row>
    <row r="17" spans="2:17">
      <c r="O17" s="281"/>
    </row>
    <row r="18" spans="2:17" ht="18">
      <c r="B18" s="100" t="s">
        <v>532</v>
      </c>
      <c r="C18" s="101"/>
      <c r="D18" s="101"/>
      <c r="E18" s="102">
        <f>PRODUCT(E5:E16)</f>
        <v>0</v>
      </c>
      <c r="F18" s="103"/>
      <c r="G18" s="103"/>
      <c r="H18" s="103"/>
      <c r="I18" s="104"/>
      <c r="J18" s="104"/>
      <c r="K18" s="104"/>
      <c r="L18" s="104"/>
      <c r="M18" s="105" t="str">
        <f>IF(COUNTIF(M5:M16,"*")&gt;0,"Pathway not chosen",SUM(M5:M16))</f>
        <v>Pathway not chosen</v>
      </c>
      <c r="O18" s="168" t="str">
        <f>IF(Pathway=Units!$B$134,'Default data'!E$126,IF(Pathway=Units!$B$135, "Pathway not available from LCA tool","Pathway not chosen"))</f>
        <v>Pathway not chosen</v>
      </c>
      <c r="P18" s="168" t="str">
        <f>IF(Pathway=Units!$B$134,'Default data'!F$126,IF(Pathway=Units!$B$135, "Pathway not available from LCA tool","Pathway not chosen"))</f>
        <v>Pathway not chosen</v>
      </c>
      <c r="Q18" s="168" t="str">
        <f>IF(Pathway=Units!$B$134,'Default data'!G$126,IF(Pathway=Units!$B$135, "Pathway not available from LCA tool","Pathway not chosen"))</f>
        <v>Pathway not chosen</v>
      </c>
    </row>
    <row r="19" spans="2:17" ht="18">
      <c r="B19" s="100" t="s">
        <v>533</v>
      </c>
      <c r="C19" s="101"/>
      <c r="D19" s="101"/>
      <c r="E19" s="104"/>
      <c r="F19" s="104"/>
      <c r="G19" s="104"/>
      <c r="H19" s="104"/>
      <c r="I19" s="104"/>
      <c r="J19" s="104"/>
      <c r="K19" s="104"/>
      <c r="L19" s="104"/>
      <c r="M19" s="106">
        <v>20</v>
      </c>
      <c r="O19" s="646" t="s">
        <v>549</v>
      </c>
      <c r="P19" s="646"/>
      <c r="Q19" s="646"/>
    </row>
    <row r="20" spans="2:17" ht="14.4" customHeight="1">
      <c r="O20" s="646"/>
      <c r="P20" s="646"/>
      <c r="Q20" s="646"/>
    </row>
    <row r="21" spans="2:17">
      <c r="O21" s="646"/>
      <c r="P21" s="646"/>
      <c r="Q21" s="646"/>
    </row>
    <row r="22" spans="2:17">
      <c r="O22" s="93"/>
    </row>
    <row r="23" spans="2:17" s="285" customFormat="1">
      <c r="B23" s="284" t="s">
        <v>792</v>
      </c>
      <c r="C23" s="284"/>
      <c r="O23" s="286"/>
    </row>
    <row r="25" spans="2:17" ht="84.6" customHeight="1">
      <c r="B25" s="109" t="s">
        <v>510</v>
      </c>
      <c r="C25" s="109" t="s">
        <v>511</v>
      </c>
      <c r="D25" s="109" t="s">
        <v>550</v>
      </c>
      <c r="E25" s="109" t="s">
        <v>513</v>
      </c>
      <c r="F25" s="109" t="s">
        <v>514</v>
      </c>
      <c r="G25" s="109" t="s">
        <v>515</v>
      </c>
      <c r="H25" s="109" t="s">
        <v>516</v>
      </c>
      <c r="I25" s="109" t="s">
        <v>517</v>
      </c>
      <c r="J25" s="109" t="s">
        <v>518</v>
      </c>
      <c r="K25" s="109" t="s">
        <v>519</v>
      </c>
      <c r="L25" s="109" t="s">
        <v>520</v>
      </c>
      <c r="M25" s="109" t="s">
        <v>521</v>
      </c>
      <c r="O25" s="179" t="s">
        <v>740</v>
      </c>
      <c r="P25" s="179" t="s">
        <v>741</v>
      </c>
      <c r="Q25" s="179" t="s">
        <v>742</v>
      </c>
    </row>
    <row r="26" spans="2:17">
      <c r="B26" s="64" t="s">
        <v>59</v>
      </c>
      <c r="C26" s="632" t="s">
        <v>540</v>
      </c>
      <c r="D26" s="652" t="str">
        <f>IF(Initial_questions!E$96="", IF(Initial_questions!E$95="", "User to enter in Initial Qus", Initial_questions!E$95), Initial_questions!E$96)</f>
        <v>User to enter in Initial Qus</v>
      </c>
      <c r="E26" s="60" t="str">
        <f>Waste_Collection!N20</f>
        <v>NA</v>
      </c>
      <c r="F26" s="174" t="e">
        <f>F27/E27</f>
        <v>#VALUE!</v>
      </c>
      <c r="G26" s="63">
        <f>Waste_Collection!S33</f>
        <v>0</v>
      </c>
      <c r="H26" s="61" t="e">
        <f t="shared" ref="H26:H29" si="6">G26*F26</f>
        <v>#VALUE!</v>
      </c>
      <c r="I26" s="322" t="str">
        <f>Waste_Collection!O20</f>
        <v/>
      </c>
      <c r="J26" s="60" t="e">
        <f t="shared" ref="J26:J27" si="7">J27*I26</f>
        <v>#VALUE!</v>
      </c>
      <c r="K26" s="62" t="e">
        <f t="shared" ref="K26:K29" si="8">H26*J26</f>
        <v>#VALUE!</v>
      </c>
      <c r="L26" s="655" t="str" cm="1">
        <f t="array" ref="L26">IF(Initial_questions!$E$94="No", "Feedstock does not match default", IF(OR(Pathway=Units!$B$134:$B$135),'Default data'!$D$22,"Pathway not chosen"))</f>
        <v>Pathway not chosen</v>
      </c>
      <c r="M26" s="657" t="e">
        <f>IF($D$26="Default",L26,SUM(K26:K29))</f>
        <v>#VALUE!</v>
      </c>
      <c r="O26" s="647" t="str">
        <f>IF(Pathway=Units!$B$134,'Default data'!E$22,IF(Pathway=Units!$B$135, "Pathway not available from LCA tool","Pathway not chosen"))</f>
        <v>Pathway not chosen</v>
      </c>
      <c r="P26" s="647" t="str">
        <f>IF(Pathway=Units!$B$134,'Default data'!F$22,IF(Pathway=Units!$B$135, "Pathway not available from LCA tool","Pathway not chosen"))</f>
        <v>Pathway not chosen</v>
      </c>
      <c r="Q26" s="647" t="str">
        <f>IF(Pathway=Units!$B$134,'Default data'!G$22,IF(Pathway=Units!$B$135, "Pathway not available from LCA tool","Pathway not chosen"))</f>
        <v>Pathway not chosen</v>
      </c>
    </row>
    <row r="27" spans="2:17">
      <c r="B27" s="64" t="s">
        <v>60</v>
      </c>
      <c r="C27" s="633"/>
      <c r="D27" s="653"/>
      <c r="E27" s="60" t="str">
        <f>Waste_Transport!N20</f>
        <v/>
      </c>
      <c r="F27" s="174" t="e">
        <f>F28/E28</f>
        <v>#VALUE!</v>
      </c>
      <c r="G27" s="63">
        <f>Waste_Transport!S33</f>
        <v>0</v>
      </c>
      <c r="H27" s="61" t="e">
        <f t="shared" si="6"/>
        <v>#VALUE!</v>
      </c>
      <c r="I27" s="322" t="str">
        <f>Waste_Transport!O20</f>
        <v/>
      </c>
      <c r="J27" s="60" t="e">
        <f t="shared" si="7"/>
        <v>#VALUE!</v>
      </c>
      <c r="K27" s="62" t="e">
        <f t="shared" si="8"/>
        <v>#VALUE!</v>
      </c>
      <c r="L27" s="656"/>
      <c r="M27" s="658"/>
      <c r="O27" s="648"/>
      <c r="P27" s="648"/>
      <c r="Q27" s="648"/>
    </row>
    <row r="28" spans="2:17">
      <c r="B28" s="64" t="s">
        <v>61</v>
      </c>
      <c r="C28" s="633"/>
      <c r="D28" s="653"/>
      <c r="E28" s="60" t="str">
        <f>'Waste_Pre-Processing'!N20</f>
        <v/>
      </c>
      <c r="F28" s="174" t="e">
        <f>F29/E29</f>
        <v>#VALUE!</v>
      </c>
      <c r="G28" s="63">
        <f>'Waste_Pre-Processing'!S47</f>
        <v>0</v>
      </c>
      <c r="H28" s="61" t="e">
        <f t="shared" si="6"/>
        <v>#VALUE!</v>
      </c>
      <c r="I28" s="322" t="str">
        <f>'Waste_Pre-Processing'!O20</f>
        <v/>
      </c>
      <c r="J28" s="60" t="e">
        <f>J29*I28</f>
        <v>#VALUE!</v>
      </c>
      <c r="K28" s="62" t="e">
        <f t="shared" si="8"/>
        <v>#VALUE!</v>
      </c>
      <c r="L28" s="656"/>
      <c r="M28" s="658"/>
      <c r="O28" s="648"/>
      <c r="P28" s="648"/>
      <c r="Q28" s="648"/>
    </row>
    <row r="29" spans="2:17">
      <c r="B29" s="64" t="s">
        <v>62</v>
      </c>
      <c r="C29" s="634"/>
      <c r="D29" s="654"/>
      <c r="E29" s="60" t="str">
        <f>Waste_Further_Transport!N20</f>
        <v/>
      </c>
      <c r="F29" s="174" t="e">
        <f>F30/E30</f>
        <v>#VALUE!</v>
      </c>
      <c r="G29" s="63">
        <f>Waste_Further_Transport!S33</f>
        <v>0</v>
      </c>
      <c r="H29" s="61" t="e">
        <f t="shared" si="6"/>
        <v>#VALUE!</v>
      </c>
      <c r="I29" s="322" t="str">
        <f>Waste_Further_Transport!O20</f>
        <v/>
      </c>
      <c r="J29" s="60" t="e">
        <f>J30*I29</f>
        <v>#VALUE!</v>
      </c>
      <c r="K29" s="62" t="e">
        <f t="shared" si="8"/>
        <v>#VALUE!</v>
      </c>
      <c r="L29" s="656"/>
      <c r="M29" s="659"/>
      <c r="O29" s="649"/>
      <c r="P29" s="649"/>
      <c r="Q29" s="649"/>
    </row>
    <row r="30" spans="2:17">
      <c r="B30" s="632" t="s">
        <v>551</v>
      </c>
      <c r="C30" s="64" t="s">
        <v>90</v>
      </c>
      <c r="D30" s="320" t="str">
        <f>IF(Initial_questions!E$97="", IF(Initial_questions!E$95="", "User to enter in Initial Qus", Initial_questions!E$95), Initial_questions!E$97)</f>
        <v>User to enter in Initial Qus</v>
      </c>
      <c r="E30" s="623" t="str">
        <f>Waste_Gasification_CCS!$N$9</f>
        <v/>
      </c>
      <c r="F30" s="626">
        <v>1</v>
      </c>
      <c r="G30" s="63">
        <f>Waste_Gasification_CCS!S20</f>
        <v>0</v>
      </c>
      <c r="H30" s="61">
        <f>G30*$F$30</f>
        <v>0</v>
      </c>
      <c r="I30" s="663" t="str">
        <f>Waste_Gasification_CCS!O9</f>
        <v/>
      </c>
      <c r="J30" s="623" t="str">
        <f>I30</f>
        <v/>
      </c>
      <c r="K30" s="62" t="e">
        <f>H30*$J$30</f>
        <v>#VALUE!</v>
      </c>
      <c r="L30" s="174" t="str" cm="1">
        <f t="array" ref="L30">IF(Initial_questions!$E$94="No", "Feedstock does not match default", IF(OR(Pathway=Units!$B$134:$B$135),'Default data'!$D$37,"Pathway not chosen"))</f>
        <v>Pathway not chosen</v>
      </c>
      <c r="M30" s="321" t="e">
        <f>IF(D30="Default",L30,K30)</f>
        <v>#VALUE!</v>
      </c>
      <c r="O30" s="168" t="str">
        <f>IF(Pathway=Units!$B$134,'Default data'!E$37,IF(Pathway=Units!$B$135, "Pathway not available from LCA tool","Pathway not chosen"))</f>
        <v>Pathway not chosen</v>
      </c>
      <c r="P30" s="168" t="str">
        <f>IF(Pathway=Units!$B$134,'Default data'!F$37,IF(Pathway=Units!$B$135, "Pathway not available from LCA tool","Pathway not chosen"))</f>
        <v>Pathway not chosen</v>
      </c>
      <c r="Q30" s="168" t="str">
        <f>IF(Pathway=Units!$B$134,'Default data'!G$37,IF(Pathway=Units!$B$135, "Pathway not available from LCA tool","Pathway not chosen"))</f>
        <v>Pathway not chosen</v>
      </c>
    </row>
    <row r="31" spans="2:17">
      <c r="B31" s="633"/>
      <c r="C31" s="64" t="s">
        <v>91</v>
      </c>
      <c r="D31" s="320" t="str">
        <f>IF(Initial_questions!E$98="", IF(Initial_questions!E$95="", "User to enter in Initial Qus", Initial_questions!E$95), Initial_questions!E$98)</f>
        <v>User to enter in Initial Qus</v>
      </c>
      <c r="E31" s="624"/>
      <c r="F31" s="627"/>
      <c r="G31" s="63">
        <f>Waste_Gasification_CCS!S33</f>
        <v>0</v>
      </c>
      <c r="H31" s="61">
        <f t="shared" ref="H31:H35" si="9">G31*$F$30</f>
        <v>0</v>
      </c>
      <c r="I31" s="664"/>
      <c r="J31" s="624"/>
      <c r="K31" s="62" t="e">
        <f t="shared" ref="K31:K35" si="10">H31*$J$30</f>
        <v>#VALUE!</v>
      </c>
      <c r="L31" s="174" t="str" cm="1">
        <f t="array" ref="L31">IF(Initial_questions!$E$94="No", "Feedstock does not match default", IF(OR(Pathway=Units!$B$134:$B$135),'Default data'!$D$52,"Pathway not chosen"))</f>
        <v>Pathway not chosen</v>
      </c>
      <c r="M31" s="321" t="e">
        <f>IF(D31="Default",L31,K31)</f>
        <v>#VALUE!</v>
      </c>
      <c r="O31" s="168" t="str">
        <f>IF(Pathway=Units!$B$134,'Default data'!E$52,IF(Pathway=Units!$B$135, "Pathway not available from LCA tool","Pathway not chosen"))</f>
        <v>Pathway not chosen</v>
      </c>
      <c r="P31" s="168" t="str">
        <f>IF(Pathway=Units!$B$134,'Default data'!F$52,IF(Pathway=Units!$B$135, "Pathway not available from LCA tool","Pathway not chosen"))</f>
        <v>Pathway not chosen</v>
      </c>
      <c r="Q31" s="168" t="str">
        <f>IF(Pathway=Units!$B$134,'Default data'!G$52,IF(Pathway=Units!$B$135, "Pathway not available from LCA tool","Pathway not chosen"))</f>
        <v>Pathway not chosen</v>
      </c>
    </row>
    <row r="32" spans="2:17">
      <c r="B32" s="633"/>
      <c r="C32" s="64" t="s">
        <v>522</v>
      </c>
      <c r="D32" s="64" t="s">
        <v>523</v>
      </c>
      <c r="E32" s="624"/>
      <c r="F32" s="627"/>
      <c r="G32" s="63">
        <f>Waste_Gasification_CCS!S52</f>
        <v>0</v>
      </c>
      <c r="H32" s="61">
        <f>G32*$F$30</f>
        <v>0</v>
      </c>
      <c r="I32" s="664"/>
      <c r="J32" s="624"/>
      <c r="K32" s="62" t="e">
        <f t="shared" si="10"/>
        <v>#VALUE!</v>
      </c>
      <c r="L32" s="59" t="s">
        <v>485</v>
      </c>
      <c r="M32" s="321" t="e">
        <f>IF(D32="Default",L32,K32)</f>
        <v>#VALUE!</v>
      </c>
      <c r="O32" s="168" t="str">
        <f>IF(Pathway=Units!$B$134,'Default data'!E$67,IF(Pathway=Units!$B$135, "Pathway not available from LCA tool","Pathway not chosen"))</f>
        <v>Pathway not chosen</v>
      </c>
      <c r="P32" s="168" t="str">
        <f>IF(Pathway=Units!$B$134,'Default data'!F$67,IF(Pathway=Units!$B$135, "Pathway not available from LCA tool","Pathway not chosen"))</f>
        <v>Pathway not chosen</v>
      </c>
      <c r="Q32" s="168" t="str">
        <f>IF(Pathway=Units!$B$134,'Default data'!G$67,IF(Pathway=Units!$B$135, "Pathway not available from LCA tool","Pathway not chosen"))</f>
        <v>Pathway not chosen</v>
      </c>
    </row>
    <row r="33" spans="2:17">
      <c r="B33" s="633"/>
      <c r="C33" s="96" t="s">
        <v>524</v>
      </c>
      <c r="D33" s="64" t="s">
        <v>523</v>
      </c>
      <c r="E33" s="624"/>
      <c r="F33" s="627"/>
      <c r="G33" s="63">
        <f>Waste_Gasification_CCS!S64</f>
        <v>0</v>
      </c>
      <c r="H33" s="61">
        <f t="shared" si="9"/>
        <v>0</v>
      </c>
      <c r="I33" s="664"/>
      <c r="J33" s="624"/>
      <c r="K33" s="62" t="e">
        <f t="shared" si="10"/>
        <v>#VALUE!</v>
      </c>
      <c r="L33" s="59" t="s">
        <v>485</v>
      </c>
      <c r="M33" s="321" t="e">
        <f>IF(D33="Default",L33,K33)</f>
        <v>#VALUE!</v>
      </c>
      <c r="O33" s="168" t="str">
        <f>IF(Pathway=Units!$B$134,'Default data'!E$82,IF(Pathway=Units!$B$135, "Pathway not available from LCA tool","Pathway not chosen"))</f>
        <v>Pathway not chosen</v>
      </c>
      <c r="P33" s="168" t="str">
        <f>IF(Pathway=Units!$B$134,'Default data'!F$82,IF(Pathway=Units!$B$135, "Pathway not available from LCA tool","Pathway not chosen"))</f>
        <v>Pathway not chosen</v>
      </c>
      <c r="Q33" s="168" t="str">
        <f>IF(Pathway=Units!$B$134,'Default data'!G$82,IF(Pathway=Units!$B$135, "Pathway not available from LCA tool","Pathway not chosen"))</f>
        <v>Pathway not chosen</v>
      </c>
    </row>
    <row r="34" spans="2:17" ht="15.6">
      <c r="B34" s="633"/>
      <c r="C34" s="96" t="s">
        <v>525</v>
      </c>
      <c r="D34" s="64" t="s">
        <v>523</v>
      </c>
      <c r="E34" s="624"/>
      <c r="F34" s="627"/>
      <c r="G34" s="63">
        <f>Waste_Gasification_CCS!S79</f>
        <v>0</v>
      </c>
      <c r="H34" s="61">
        <f t="shared" si="9"/>
        <v>0</v>
      </c>
      <c r="I34" s="664"/>
      <c r="J34" s="624"/>
      <c r="K34" s="62" t="e">
        <f t="shared" si="10"/>
        <v>#VALUE!</v>
      </c>
      <c r="L34" s="59" t="s">
        <v>485</v>
      </c>
      <c r="M34" s="321" t="e">
        <f t="shared" ref="M34" si="11">IF(D34="Default",L34,K34)</f>
        <v>#VALUE!</v>
      </c>
      <c r="O34" s="168" t="str">
        <f>IF(Pathway=Units!$B$134,'Default data'!E$97,IF(Pathway=Units!$B$135, "Pathway not available from LCA tool","Pathway not chosen"))</f>
        <v>Pathway not chosen</v>
      </c>
      <c r="P34" s="168" t="str">
        <f>IF(Pathway=Units!$B$134,'Default data'!F$97,IF(Pathway=Units!$B$135, "Pathway not available from LCA tool","Pathway not chosen"))</f>
        <v>Pathway not chosen</v>
      </c>
      <c r="Q34" s="168" t="str">
        <f>IF(Pathway=Units!$B$134,'Default data'!G$97,IF(Pathway=Units!$B$135, "Pathway not available from LCA tool","Pathway not chosen"))</f>
        <v>Pathway not chosen</v>
      </c>
    </row>
    <row r="35" spans="2:17" ht="15.6">
      <c r="B35" s="634"/>
      <c r="C35" s="64" t="s">
        <v>526</v>
      </c>
      <c r="D35" s="64" t="s">
        <v>523</v>
      </c>
      <c r="E35" s="625"/>
      <c r="F35" s="628"/>
      <c r="G35" s="63">
        <f>Waste_Gasification_CCS!S91</f>
        <v>0</v>
      </c>
      <c r="H35" s="61">
        <f t="shared" si="9"/>
        <v>0</v>
      </c>
      <c r="I35" s="665"/>
      <c r="J35" s="625"/>
      <c r="K35" s="62" t="e">
        <f t="shared" si="10"/>
        <v>#VALUE!</v>
      </c>
      <c r="L35" s="59" t="s">
        <v>485</v>
      </c>
      <c r="M35" s="321" t="e">
        <f>IF(D35="Default",L35,K35)</f>
        <v>#VALUE!</v>
      </c>
      <c r="O35" s="168" t="str">
        <f>IF(Pathway=Units!$B$134,'Default data'!E$112,IF(Pathway=Units!$B$135, "Pathway not available from LCA tool","Pathway not chosen"))</f>
        <v>Pathway not chosen</v>
      </c>
      <c r="P35" s="168" t="str">
        <f>IF(Pathway=Units!$B$134,'Default data'!F$112,IF(Pathway=Units!$B$135, "Pathway not available from LCA tool","Pathway not chosen"))</f>
        <v>Pathway not chosen</v>
      </c>
      <c r="Q35" s="168" t="str">
        <f>IF(Pathway=Units!$B$134,'Default data'!G$112,IF(Pathway=Units!$B$135, "Pathway not available from LCA tool","Pathway not chosen"))</f>
        <v>Pathway not chosen</v>
      </c>
    </row>
    <row r="36" spans="2:17" ht="28.8">
      <c r="B36" s="64" t="s">
        <v>527</v>
      </c>
      <c r="C36" s="635" t="s">
        <v>528</v>
      </c>
      <c r="D36" s="64" t="s">
        <v>529</v>
      </c>
      <c r="E36" s="107"/>
      <c r="F36" s="107"/>
      <c r="G36" s="107"/>
      <c r="H36" s="107"/>
      <c r="I36" s="107"/>
      <c r="J36" s="107"/>
      <c r="K36" s="107"/>
      <c r="L36" s="550" t="str">
        <f>'Default data'!$D$146</f>
        <v>Yet to provide pressure or electricity source</v>
      </c>
      <c r="M36" s="549" t="str">
        <f>L36</f>
        <v>Yet to provide pressure or electricity source</v>
      </c>
      <c r="O36" s="168" t="s">
        <v>730</v>
      </c>
      <c r="P36" s="168" t="s">
        <v>730</v>
      </c>
      <c r="Q36" s="168" t="s">
        <v>730</v>
      </c>
    </row>
    <row r="37" spans="2:17" ht="28.8">
      <c r="B37" s="64" t="s">
        <v>530</v>
      </c>
      <c r="C37" s="636"/>
      <c r="D37" s="64" t="s">
        <v>531</v>
      </c>
      <c r="E37" s="107"/>
      <c r="F37" s="107"/>
      <c r="G37" s="107"/>
      <c r="H37" s="107"/>
      <c r="I37" s="107"/>
      <c r="J37" s="107"/>
      <c r="K37" s="107"/>
      <c r="L37" s="552" t="str">
        <f>'Default data'!$D$164</f>
        <v>Yet to provide electricity source</v>
      </c>
      <c r="M37" s="549" t="str">
        <f>L37</f>
        <v>Yet to provide electricity source</v>
      </c>
      <c r="O37" s="168" t="s">
        <v>730</v>
      </c>
      <c r="P37" s="168" t="s">
        <v>730</v>
      </c>
      <c r="Q37" s="168" t="s">
        <v>730</v>
      </c>
    </row>
    <row r="39" spans="2:17" ht="18">
      <c r="B39" s="100" t="s">
        <v>532</v>
      </c>
      <c r="C39" s="101"/>
      <c r="D39" s="101"/>
      <c r="E39" s="102">
        <f>PRODUCT(E26:E37)</f>
        <v>0</v>
      </c>
      <c r="F39" s="103"/>
      <c r="G39" s="103"/>
      <c r="H39" s="103"/>
      <c r="I39" s="104"/>
      <c r="J39" s="104"/>
      <c r="K39" s="104"/>
      <c r="L39" s="104"/>
      <c r="M39" s="105" t="str">
        <f>IF(COUNTIF(M26:M37,"*")&gt;0,"Pathway not chosen",SUM(M26:M37))</f>
        <v>Pathway not chosen</v>
      </c>
      <c r="O39" s="168" t="str">
        <f>IF(Pathway=Units!$B$134,'Default data'!E$126,IF(Pathway=Units!$B$135, "Pathway not available from LCA tool","Pathway not chosen"))</f>
        <v>Pathway not chosen</v>
      </c>
      <c r="P39" s="168" t="str">
        <f>IF(Pathway=Units!$B$134,'Default data'!F$126,IF(Pathway=Units!$B$135, "Pathway not available from LCA tool","Pathway not chosen"))</f>
        <v>Pathway not chosen</v>
      </c>
      <c r="Q39" s="168" t="str">
        <f>IF(Pathway=Units!$B$134,'Default data'!G$126,IF(Pathway=Units!$B$135, "Pathway not available from LCA tool","Pathway not chosen"))</f>
        <v>Pathway not chosen</v>
      </c>
    </row>
    <row r="40" spans="2:17" ht="18">
      <c r="B40" s="100" t="s">
        <v>533</v>
      </c>
      <c r="C40" s="101"/>
      <c r="D40" s="101"/>
      <c r="E40" s="104"/>
      <c r="F40" s="104"/>
      <c r="G40" s="104"/>
      <c r="H40" s="104"/>
      <c r="I40" s="104"/>
      <c r="J40" s="104"/>
      <c r="K40" s="104"/>
      <c r="L40" s="104"/>
      <c r="M40" s="106">
        <v>20</v>
      </c>
      <c r="O40" s="646" t="s">
        <v>549</v>
      </c>
      <c r="P40" s="646"/>
      <c r="Q40" s="646"/>
    </row>
    <row r="41" spans="2:17" ht="18">
      <c r="B41" s="104"/>
      <c r="C41" s="104"/>
      <c r="D41" s="104"/>
      <c r="E41" s="104"/>
      <c r="F41" s="104"/>
      <c r="G41" s="104"/>
      <c r="H41" s="104"/>
      <c r="I41" s="104"/>
      <c r="J41" s="104"/>
      <c r="K41" s="104"/>
      <c r="L41" s="104"/>
      <c r="M41" s="104"/>
      <c r="O41" s="646"/>
      <c r="P41" s="646"/>
      <c r="Q41" s="646"/>
    </row>
    <row r="42" spans="2:17">
      <c r="O42" s="646"/>
      <c r="P42" s="646"/>
      <c r="Q42" s="646"/>
    </row>
    <row r="44" spans="2:17">
      <c r="O44" s="281"/>
    </row>
    <row r="45" spans="2:17">
      <c r="J45" s="281"/>
      <c r="O45" s="281"/>
    </row>
    <row r="46" spans="2:17">
      <c r="O46" s="281"/>
    </row>
  </sheetData>
  <customSheetViews>
    <customSheetView guid="{43B6AE9C-E429-4506-98F3-C388B54AB8B6}" showGridLines="0">
      <pane xSplit="3" topLeftCell="D1" activePane="topRight" state="frozen"/>
      <selection pane="topRight"/>
      <pageMargins left="0" right="0" top="0" bottom="0" header="0" footer="0"/>
      <pageSetup paperSize="9" orientation="portrait" r:id="rId1"/>
    </customSheetView>
    <customSheetView guid="{D41C0D8C-591E-4B34-99B3-B45BA51A58EC}" showGridLines="0" state="hidden">
      <pane xSplit="3" topLeftCell="D1" activePane="topRight" state="frozen"/>
      <selection pane="topRight"/>
      <pageMargins left="0" right="0" top="0" bottom="0" header="0" footer="0"/>
      <pageSetup paperSize="9" orientation="portrait" r:id="rId2"/>
    </customSheetView>
    <customSheetView guid="{8F590910-6C03-4233-9C41-6540BF2DE453}" showGridLines="0" state="hidden">
      <pane xSplit="3" topLeftCell="D1" activePane="topRight" state="frozen"/>
      <selection pane="topRight"/>
      <pageMargins left="0" right="0" top="0" bottom="0" header="0" footer="0"/>
      <pageSetup paperSize="9" orientation="portrait" r:id="rId3"/>
    </customSheetView>
    <customSheetView guid="{55CEC4CC-9BBF-4F2D-BA17-E94F4B26FAC5}" showGridLines="0" state="hidden">
      <pane xSplit="3" topLeftCell="D1" activePane="topRight" state="frozen"/>
      <selection pane="topRight"/>
      <pageMargins left="0" right="0" top="0" bottom="0" header="0" footer="0"/>
      <pageSetup paperSize="9" orientation="portrait" r:id="rId4"/>
    </customSheetView>
    <customSheetView guid="{7735C88E-3A13-4DCF-BB32-4D20A306A8BB}" showGridLines="0" state="hidden">
      <pane xSplit="3" topLeftCell="D1" activePane="topRight" state="frozen"/>
      <selection pane="topRight"/>
      <pageMargins left="0" right="0" top="0" bottom="0" header="0" footer="0"/>
      <pageSetup paperSize="9" orientation="portrait" r:id="rId5"/>
    </customSheetView>
    <customSheetView guid="{27B9E3C6-8189-41E0-896B-02A30393FDC0}" showGridLines="0" state="hidden">
      <pane xSplit="3" topLeftCell="D1" activePane="topRight" state="frozen"/>
      <selection pane="topRight"/>
      <pageMargins left="0" right="0" top="0" bottom="0" header="0" footer="0"/>
      <pageSetup paperSize="9" orientation="portrait" r:id="rId6"/>
    </customSheetView>
    <customSheetView guid="{ED9AC919-98EB-43A3-A158-23FD7D007D30}" showGridLines="0">
      <pane xSplit="3" topLeftCell="D1" activePane="topRight" state="frozen"/>
      <selection pane="topRight" activeCell="D1" sqref="D1"/>
      <pageMargins left="0" right="0" top="0" bottom="0" header="0" footer="0"/>
      <pageSetup paperSize="9" orientation="portrait" r:id="rId7"/>
    </customSheetView>
  </customSheetViews>
  <mergeCells count="28">
    <mergeCell ref="O40:Q42"/>
    <mergeCell ref="O5:O8"/>
    <mergeCell ref="P5:P8"/>
    <mergeCell ref="Q5:Q8"/>
    <mergeCell ref="C15:C16"/>
    <mergeCell ref="C36:C37"/>
    <mergeCell ref="C5:C8"/>
    <mergeCell ref="C26:C29"/>
    <mergeCell ref="D5:D8"/>
    <mergeCell ref="D26:D29"/>
    <mergeCell ref="L5:L8"/>
    <mergeCell ref="L26:L29"/>
    <mergeCell ref="O19:Q21"/>
    <mergeCell ref="O26:O29"/>
    <mergeCell ref="P26:P29"/>
    <mergeCell ref="Q26:Q29"/>
    <mergeCell ref="M5:M8"/>
    <mergeCell ref="M26:M29"/>
    <mergeCell ref="B9:B14"/>
    <mergeCell ref="E9:E14"/>
    <mergeCell ref="F9:F14"/>
    <mergeCell ref="I9:I14"/>
    <mergeCell ref="J9:J14"/>
    <mergeCell ref="B30:B35"/>
    <mergeCell ref="E30:E35"/>
    <mergeCell ref="F30:F35"/>
    <mergeCell ref="I30:I35"/>
    <mergeCell ref="J30:J35"/>
  </mergeCells>
  <pageMargins left="0" right="0" top="0" bottom="0" header="0" footer="0"/>
  <pageSetup paperSize="9" orientation="portrait" r:id="rId8"/>
  <extLst>
    <ext xmlns:x14="http://schemas.microsoft.com/office/spreadsheetml/2009/9/main" uri="{78C0D931-6437-407d-A8EE-F0AAD7539E65}">
      <x14:conditionalFormattings>
        <x14:conditionalFormatting xmlns:xm="http://schemas.microsoft.com/office/excel/2006/main">
          <x14:cfRule type="expression" priority="33" id="{25872DAB-A3F0-4E99-B667-0A798B468697}">
            <xm:f>AND(Initial_questions!$E$21&lt;&gt;"Waste Gasification with CCS",Initial_questions!$E$21&lt;&gt;"Waste Gasification without CCS",Master_Switch="On")</xm:f>
            <x14:dxf>
              <font>
                <color theme="0"/>
              </font>
              <fill>
                <patternFill>
                  <bgColor theme="0"/>
                </patternFill>
              </fill>
              <border>
                <left/>
                <right/>
                <top/>
                <bottom/>
                <vertical/>
                <horizontal/>
              </border>
            </x14:dxf>
          </x14:cfRule>
          <xm:sqref>A15:N16 R15:XFD16 A36:N37 R36:XFD37 A2:XFD14 A38:XFD100 A17:XFD35</xm:sqref>
        </x14:conditionalFormatting>
        <x14:conditionalFormatting xmlns:xm="http://schemas.microsoft.com/office/excel/2006/main">
          <x14:cfRule type="expression" priority="2" id="{8F36FCE1-1211-4A93-89C1-0CB32C321202}">
            <xm:f>AND(Initial_questions!$E$21&lt;&gt;"Biomass Gasification with CCS",Initial_questions!$E$21&lt;&gt;"Biomass Gasification without CCS",Master_Switch="On")</xm:f>
            <x14:dxf>
              <font>
                <color theme="0"/>
              </font>
              <fill>
                <patternFill patternType="solid">
                  <fgColor theme="0"/>
                  <bgColor theme="0"/>
                </patternFill>
              </fill>
              <border>
                <left/>
                <right/>
                <top/>
                <bottom/>
                <vertical/>
                <horizontal/>
              </border>
            </x14:dxf>
          </x14:cfRule>
          <xm:sqref>O15:Q16</xm:sqref>
        </x14:conditionalFormatting>
        <x14:conditionalFormatting xmlns:xm="http://schemas.microsoft.com/office/excel/2006/main">
          <x14:cfRule type="expression" priority="1" id="{38CE33AF-9F1C-4F21-A88D-318EF0A40DDB}">
            <xm:f>AND(Initial_questions!$E$21&lt;&gt;"Biomass Gasification with CCS",Initial_questions!$E$21&lt;&gt;"Biomass Gasification without CCS",Master_Switch="On")</xm:f>
            <x14:dxf>
              <font>
                <color theme="0"/>
              </font>
              <fill>
                <patternFill patternType="solid">
                  <fgColor theme="0"/>
                  <bgColor theme="0"/>
                </patternFill>
              </fill>
              <border>
                <left/>
                <right/>
                <top/>
                <bottom/>
                <vertical/>
                <horizontal/>
              </border>
            </x14:dxf>
          </x14:cfRule>
          <xm:sqref>O36:Q37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E05A-CB49-4074-8ED9-1FAEC01B9B2D}">
  <sheetPr codeName="Sheet15">
    <tabColor rgb="FFFF66CC"/>
  </sheetPr>
  <dimension ref="A1:O22"/>
  <sheetViews>
    <sheetView showGridLines="0" zoomScaleNormal="100" workbookViewId="0">
      <pane xSplit="3" topLeftCell="D1" activePane="topRight" state="frozen"/>
      <selection pane="topRight"/>
    </sheetView>
  </sheetViews>
  <sheetFormatPr defaultColWidth="8.88671875" defaultRowHeight="14.4"/>
  <cols>
    <col min="1" max="1" width="4.5546875" customWidth="1"/>
    <col min="2" max="2" width="32.44140625" customWidth="1"/>
    <col min="3" max="3" width="30.5546875" customWidth="1"/>
    <col min="4" max="4" width="29.33203125" customWidth="1"/>
    <col min="5" max="5" width="15.88671875" customWidth="1"/>
    <col min="6" max="6" width="31.88671875" customWidth="1"/>
    <col min="7" max="7" width="28.5546875" customWidth="1"/>
    <col min="8" max="8" width="30.44140625" customWidth="1"/>
    <col min="9" max="10" width="26.88671875" customWidth="1"/>
    <col min="11" max="11" width="35.109375" customWidth="1"/>
    <col min="12" max="12" width="20.88671875" customWidth="1"/>
    <col min="13" max="13" width="29" customWidth="1"/>
    <col min="15" max="15" width="30.109375" customWidth="1"/>
    <col min="16" max="16" width="28.88671875" customWidth="1"/>
    <col min="17" max="17" width="28.5546875" customWidth="1"/>
  </cols>
  <sheetData>
    <row r="1" spans="1:15" ht="31.2">
      <c r="A1" s="83" t="str">
        <f>IF(AND(Initial_questions!$E$21&lt;&gt;"Other",Master_Switch="On"),"User should not use this worksheet, but switch to a non-blank GHG summary worksheets","")</f>
        <v>User should not use this worksheet, but switch to a non-blank GHG summary worksheets</v>
      </c>
    </row>
    <row r="2" spans="1:15" ht="84.6" customHeight="1">
      <c r="B2" s="45" t="s">
        <v>552</v>
      </c>
      <c r="C2" s="45" t="s">
        <v>553</v>
      </c>
      <c r="D2" s="45" t="s">
        <v>512</v>
      </c>
      <c r="E2" s="45" t="s">
        <v>554</v>
      </c>
      <c r="F2" s="45" t="s">
        <v>555</v>
      </c>
      <c r="G2" s="45" t="s">
        <v>556</v>
      </c>
      <c r="H2" s="45" t="s">
        <v>557</v>
      </c>
      <c r="I2" s="45" t="s">
        <v>517</v>
      </c>
      <c r="J2" s="45" t="s">
        <v>518</v>
      </c>
      <c r="K2" s="45" t="s">
        <v>558</v>
      </c>
      <c r="L2" s="45" t="s">
        <v>559</v>
      </c>
      <c r="M2" s="45" t="s">
        <v>560</v>
      </c>
    </row>
    <row r="3" spans="1:15">
      <c r="B3" s="64" t="s">
        <v>561</v>
      </c>
      <c r="C3" s="632" t="s">
        <v>540</v>
      </c>
      <c r="D3" s="64" t="s">
        <v>523</v>
      </c>
      <c r="E3" s="60" t="str">
        <f>IF(AND(Initial_questions!$E$62&lt;&gt;Units!$R$120, Initial_questions!$E$62&lt;&gt;Units!$R$121, Initial_questions!$E$62&lt;&gt;Units!$R$122, Initial_questions!$E$62&lt;&gt;Units!$R$123), "NA", Generic_Feedstock_Cultivation!N20)</f>
        <v>NA</v>
      </c>
      <c r="F3" s="174" t="str">
        <f>IF(AND(Initial_questions!$E$62&lt;&gt;Units!$R$120, Initial_questions!$E$62&lt;&gt;Units!$R$121, Initial_questions!$E$62&lt;&gt;Units!$R$122, Initial_questions!$E$62&lt;&gt;Units!$R$123),"NA",F4/E4)</f>
        <v>NA</v>
      </c>
      <c r="G3" s="173">
        <f>Generic_Feedstock_Cultivation!S39</f>
        <v>0</v>
      </c>
      <c r="H3" s="61" t="str">
        <f>IF(AND(Initial_questions!$E$62&lt;&gt;Units!$R$120, Initial_questions!$E$62&lt;&gt;Units!$R$121, Initial_questions!$E$62&lt;&gt;Units!$R$122, Initial_questions!$E$62&lt;&gt;Units!$R$123),"NA",G3*F3)</f>
        <v>NA</v>
      </c>
      <c r="I3" s="324" t="str">
        <f>IF(AND(Initial_questions!$E$62&lt;&gt;Units!$R$120, Initial_questions!$E$62&lt;&gt;Units!$R$121, Initial_questions!$E$62&lt;&gt;Units!$R$122, Initial_questions!$E$62&lt;&gt;Units!$R$123),"NA",Generic_Feedstock_Cultivation!O20)</f>
        <v>NA</v>
      </c>
      <c r="J3" s="60" t="str">
        <f>IF(AND(Initial_questions!$E$62&lt;&gt;Units!$R$120, Initial_questions!$E$62&lt;&gt;Units!$R$121, Initial_questions!$E$62&lt;&gt;Units!$R$122, Initial_questions!$E$62&lt;&gt;Units!$R$123),"NA",J4*I3)</f>
        <v>NA</v>
      </c>
      <c r="K3" s="62">
        <f>IF(AND(Initial_questions!$E$62&lt;&gt;Units!$R$120, Initial_questions!$E$62&lt;&gt;Units!$R$121, Initial_questions!$E$62&lt;&gt;Units!$R$122, Initial_questions!$E$62&lt;&gt;Units!$R$123),0,H3*J3)</f>
        <v>0</v>
      </c>
      <c r="L3" s="59" t="s">
        <v>485</v>
      </c>
      <c r="M3" s="657" t="e">
        <f>SUM(K3:K8)</f>
        <v>#VALUE!</v>
      </c>
    </row>
    <row r="4" spans="1:15">
      <c r="B4" s="64" t="s">
        <v>562</v>
      </c>
      <c r="C4" s="633"/>
      <c r="D4" s="64" t="s">
        <v>523</v>
      </c>
      <c r="E4" s="60" t="str">
        <f>IF(AND(Initial_questions!$E$62&lt;&gt;Units!$R$120, Initial_questions!$E$62&lt;&gt;Units!$R$121, Initial_questions!$E$62&lt;&gt;Units!$R$122, Initial_questions!$E$62&lt;&gt;Units!$R$123),"NA",Generic_Feedstock_Harvesting!N20)</f>
        <v>NA</v>
      </c>
      <c r="F4" s="174" t="e">
        <f>F5/E5</f>
        <v>#VALUE!</v>
      </c>
      <c r="G4" s="173">
        <f>Generic_Feedstock_Harvesting!S33</f>
        <v>0</v>
      </c>
      <c r="H4" s="61" t="e">
        <f>G4*F4</f>
        <v>#VALUE!</v>
      </c>
      <c r="I4" s="324" t="str">
        <f>IF(AND(Initial_questions!$E$62&lt;&gt;Units!$R$120, Initial_questions!$E$62&lt;&gt;Units!$R$121, Initial_questions!$E$62&lt;&gt;Units!$R$122, Initial_questions!$E$62&lt;&gt;Units!$R$123),"NA",Generic_Feedstock_Harvesting!O20)</f>
        <v>NA</v>
      </c>
      <c r="J4" s="60" t="str">
        <f>IF(AND(Initial_questions!$E$62&lt;&gt;Units!$R$120, Initial_questions!$E$62&lt;&gt;Units!$R$121, Initial_questions!$E$62&lt;&gt;Units!$R$122, Initial_questions!$E$62&lt;&gt;Units!$R$123),"NA",J5*I4)</f>
        <v>NA</v>
      </c>
      <c r="K4" s="62">
        <f>IF(AND(Initial_questions!$E$62&lt;&gt;Units!$R$120, Initial_questions!$E$62&lt;&gt;Units!$R$121, Initial_questions!$E$62&lt;&gt;Units!$R$122, Initial_questions!$E$62&lt;&gt;Units!$R$123),0,H4*J4)</f>
        <v>0</v>
      </c>
      <c r="L4" s="59" t="s">
        <v>485</v>
      </c>
      <c r="M4" s="658"/>
    </row>
    <row r="5" spans="1:15">
      <c r="B5" s="64" t="s">
        <v>563</v>
      </c>
      <c r="C5" s="633"/>
      <c r="D5" s="64" t="s">
        <v>523</v>
      </c>
      <c r="E5" s="60" t="str">
        <f>Generic_Feedstock_Collection!N20</f>
        <v/>
      </c>
      <c r="F5" s="174" t="e">
        <f>F6/E6</f>
        <v>#VALUE!</v>
      </c>
      <c r="G5" s="173">
        <f>Generic_Feedstock_Collection!S33</f>
        <v>0</v>
      </c>
      <c r="H5" s="61" t="e">
        <f>G5*F5</f>
        <v>#VALUE!</v>
      </c>
      <c r="I5" s="324" t="str">
        <f>Generic_Feedstock_Collection!O20</f>
        <v/>
      </c>
      <c r="J5" s="60" t="e">
        <f>J6*I5</f>
        <v>#VALUE!</v>
      </c>
      <c r="K5" s="62" t="e">
        <f t="shared" ref="K5" si="0">H5*J5</f>
        <v>#VALUE!</v>
      </c>
      <c r="L5" s="59" t="s">
        <v>485</v>
      </c>
      <c r="M5" s="658"/>
    </row>
    <row r="6" spans="1:15">
      <c r="B6" s="64" t="s">
        <v>564</v>
      </c>
      <c r="C6" s="633"/>
      <c r="D6" s="64" t="s">
        <v>523</v>
      </c>
      <c r="E6" s="60" t="str">
        <f>Generic_Feedstock_Transport!N20</f>
        <v/>
      </c>
      <c r="F6" s="174" t="e">
        <f t="shared" ref="F6:F7" si="1">F7/E7</f>
        <v>#VALUE!</v>
      </c>
      <c r="G6" s="173">
        <f>Generic_Feedstock_Transport!S33</f>
        <v>0</v>
      </c>
      <c r="H6" s="61" t="e">
        <f t="shared" ref="H6:H7" si="2">G6*F6</f>
        <v>#VALUE!</v>
      </c>
      <c r="I6" s="324" t="str">
        <f>Generic_Feedstock_Transport!O20</f>
        <v/>
      </c>
      <c r="J6" s="60" t="e">
        <f t="shared" ref="J6:J8" si="3">J7*I6</f>
        <v>#VALUE!</v>
      </c>
      <c r="K6" s="62" t="e">
        <f t="shared" ref="K6:K8" si="4">H6*J6</f>
        <v>#VALUE!</v>
      </c>
      <c r="L6" s="59" t="s">
        <v>485</v>
      </c>
      <c r="M6" s="658"/>
    </row>
    <row r="7" spans="1:15">
      <c r="B7" s="64" t="s">
        <v>565</v>
      </c>
      <c r="C7" s="633"/>
      <c r="D7" s="64" t="s">
        <v>523</v>
      </c>
      <c r="E7" s="60" t="str">
        <f>'Generic_Pre-Processing'!N20</f>
        <v/>
      </c>
      <c r="F7" s="174" t="e">
        <f t="shared" si="1"/>
        <v>#VALUE!</v>
      </c>
      <c r="G7" s="173">
        <f>'Generic_Pre-Processing'!S36</f>
        <v>0</v>
      </c>
      <c r="H7" s="61" t="e">
        <f t="shared" si="2"/>
        <v>#VALUE!</v>
      </c>
      <c r="I7" s="324" t="str">
        <f>'Generic_Pre-Processing'!O20</f>
        <v/>
      </c>
      <c r="J7" s="60" t="e">
        <f t="shared" si="3"/>
        <v>#VALUE!</v>
      </c>
      <c r="K7" s="62" t="e">
        <f t="shared" si="4"/>
        <v>#VALUE!</v>
      </c>
      <c r="L7" s="59" t="s">
        <v>485</v>
      </c>
      <c r="M7" s="658"/>
    </row>
    <row r="8" spans="1:15">
      <c r="B8" s="64" t="s">
        <v>566</v>
      </c>
      <c r="C8" s="634"/>
      <c r="D8" s="64" t="s">
        <v>523</v>
      </c>
      <c r="E8" s="60" t="str">
        <f>Generic_Further_Transport!N20</f>
        <v/>
      </c>
      <c r="F8" s="174" t="e">
        <f>F9/E9</f>
        <v>#VALUE!</v>
      </c>
      <c r="G8" s="173">
        <f>Generic_Further_Transport!S33</f>
        <v>0</v>
      </c>
      <c r="H8" s="61" t="e">
        <f>G8*F8</f>
        <v>#VALUE!</v>
      </c>
      <c r="I8" s="324" t="str">
        <f>Generic_Further_Transport!O20</f>
        <v/>
      </c>
      <c r="J8" s="60" t="e">
        <f t="shared" si="3"/>
        <v>#VALUE!</v>
      </c>
      <c r="K8" s="62" t="e">
        <f t="shared" si="4"/>
        <v>#VALUE!</v>
      </c>
      <c r="L8" s="59" t="s">
        <v>485</v>
      </c>
      <c r="M8" s="659"/>
    </row>
    <row r="9" spans="1:15">
      <c r="B9" s="620" t="s">
        <v>567</v>
      </c>
      <c r="C9" s="64" t="s">
        <v>90</v>
      </c>
      <c r="D9" s="64" t="s">
        <v>523</v>
      </c>
      <c r="E9" s="666" t="str">
        <f>Generic_Conversion!N9</f>
        <v/>
      </c>
      <c r="F9" s="626">
        <v>1</v>
      </c>
      <c r="G9" s="63">
        <f>Generic_Conversion!S19</f>
        <v>0</v>
      </c>
      <c r="H9" s="61">
        <f>G9*$F$9</f>
        <v>0</v>
      </c>
      <c r="I9" s="663" t="str">
        <f>Generic_Conversion!O9</f>
        <v/>
      </c>
      <c r="J9" s="623" t="str">
        <f>I9</f>
        <v/>
      </c>
      <c r="K9" s="62" t="e">
        <f>H9*$J$9</f>
        <v>#VALUE!</v>
      </c>
      <c r="L9" s="59" t="s">
        <v>485</v>
      </c>
      <c r="M9" s="321" t="e">
        <f>K9</f>
        <v>#VALUE!</v>
      </c>
    </row>
    <row r="10" spans="1:15">
      <c r="B10" s="621"/>
      <c r="C10" s="64" t="s">
        <v>91</v>
      </c>
      <c r="D10" s="64" t="s">
        <v>523</v>
      </c>
      <c r="E10" s="667"/>
      <c r="F10" s="627"/>
      <c r="G10" s="63">
        <f>Generic_Conversion!S31</f>
        <v>0</v>
      </c>
      <c r="H10" s="61">
        <f t="shared" ref="H10:H14" si="5">G10*$F$9</f>
        <v>0</v>
      </c>
      <c r="I10" s="664"/>
      <c r="J10" s="624"/>
      <c r="K10" s="62" t="e">
        <f t="shared" ref="K10:K14" si="6">H10*$J$9</f>
        <v>#VALUE!</v>
      </c>
      <c r="L10" s="59" t="s">
        <v>485</v>
      </c>
      <c r="M10" s="321" t="e">
        <f t="shared" ref="M10:M14" si="7">K10</f>
        <v>#VALUE!</v>
      </c>
    </row>
    <row r="11" spans="1:15">
      <c r="B11" s="621"/>
      <c r="C11" s="64" t="s">
        <v>522</v>
      </c>
      <c r="D11" s="64" t="s">
        <v>523</v>
      </c>
      <c r="E11" s="667"/>
      <c r="F11" s="627"/>
      <c r="G11" s="63">
        <f>Generic_Conversion!S43</f>
        <v>0</v>
      </c>
      <c r="H11" s="61">
        <f t="shared" si="5"/>
        <v>0</v>
      </c>
      <c r="I11" s="664"/>
      <c r="J11" s="624"/>
      <c r="K11" s="62" t="e">
        <f t="shared" si="6"/>
        <v>#VALUE!</v>
      </c>
      <c r="L11" s="59" t="s">
        <v>485</v>
      </c>
      <c r="M11" s="321" t="e">
        <f t="shared" si="7"/>
        <v>#VALUE!</v>
      </c>
    </row>
    <row r="12" spans="1:15">
      <c r="B12" s="621"/>
      <c r="C12" s="64" t="s">
        <v>524</v>
      </c>
      <c r="D12" s="64" t="s">
        <v>523</v>
      </c>
      <c r="E12" s="667"/>
      <c r="F12" s="627"/>
      <c r="G12" s="63">
        <f>Generic_Conversion!S50</f>
        <v>0</v>
      </c>
      <c r="H12" s="61">
        <f t="shared" si="5"/>
        <v>0</v>
      </c>
      <c r="I12" s="664"/>
      <c r="J12" s="624"/>
      <c r="K12" s="62" t="e">
        <f t="shared" si="6"/>
        <v>#VALUE!</v>
      </c>
      <c r="L12" s="59" t="s">
        <v>485</v>
      </c>
      <c r="M12" s="321" t="e">
        <f t="shared" si="7"/>
        <v>#VALUE!</v>
      </c>
    </row>
    <row r="13" spans="1:15" ht="15.6">
      <c r="B13" s="621"/>
      <c r="C13" s="64" t="s">
        <v>525</v>
      </c>
      <c r="D13" s="64" t="s">
        <v>523</v>
      </c>
      <c r="E13" s="667"/>
      <c r="F13" s="627"/>
      <c r="G13" s="63">
        <f>Generic_Conversion!S58</f>
        <v>0</v>
      </c>
      <c r="H13" s="61">
        <f t="shared" si="5"/>
        <v>0</v>
      </c>
      <c r="I13" s="664"/>
      <c r="J13" s="624"/>
      <c r="K13" s="62" t="e">
        <f t="shared" si="6"/>
        <v>#VALUE!</v>
      </c>
      <c r="L13" s="59" t="s">
        <v>485</v>
      </c>
      <c r="M13" s="321" t="e">
        <f t="shared" si="7"/>
        <v>#VALUE!</v>
      </c>
    </row>
    <row r="14" spans="1:15" ht="15.6">
      <c r="B14" s="622"/>
      <c r="C14" s="64" t="s">
        <v>526</v>
      </c>
      <c r="D14" s="64" t="s">
        <v>523</v>
      </c>
      <c r="E14" s="668"/>
      <c r="F14" s="628"/>
      <c r="G14" s="63">
        <f>Generic_Conversion!S63</f>
        <v>0</v>
      </c>
      <c r="H14" s="61">
        <f t="shared" si="5"/>
        <v>0</v>
      </c>
      <c r="I14" s="665"/>
      <c r="J14" s="625"/>
      <c r="K14" s="62" t="e">
        <f t="shared" si="6"/>
        <v>#VALUE!</v>
      </c>
      <c r="L14" s="59" t="s">
        <v>485</v>
      </c>
      <c r="M14" s="321" t="e">
        <f t="shared" si="7"/>
        <v>#VALUE!</v>
      </c>
    </row>
    <row r="15" spans="1:15" ht="28.8">
      <c r="B15" s="64" t="s">
        <v>527</v>
      </c>
      <c r="C15" s="635" t="s">
        <v>528</v>
      </c>
      <c r="D15" s="579" t="s">
        <v>957</v>
      </c>
      <c r="E15" s="104"/>
      <c r="F15" s="104"/>
      <c r="G15" s="104"/>
      <c r="H15" s="104"/>
      <c r="I15" s="104"/>
      <c r="J15" s="104"/>
      <c r="K15" s="104"/>
      <c r="L15" s="572" t="str">
        <f>'Default data'!$D$146</f>
        <v>Yet to provide pressure or electricity source</v>
      </c>
      <c r="M15" s="549" t="str">
        <f>L15</f>
        <v>Yet to provide pressure or electricity source</v>
      </c>
      <c r="O15" s="56"/>
    </row>
    <row r="16" spans="1:15" ht="28.8">
      <c r="B16" s="64" t="s">
        <v>530</v>
      </c>
      <c r="C16" s="636"/>
      <c r="D16" s="579" t="s">
        <v>958</v>
      </c>
      <c r="E16" s="104"/>
      <c r="F16" s="104"/>
      <c r="G16" s="104"/>
      <c r="H16" s="104"/>
      <c r="I16" s="104"/>
      <c r="J16" s="104"/>
      <c r="K16" s="104"/>
      <c r="L16" s="572" t="str">
        <f>'Default data'!$D$164</f>
        <v>Yet to provide electricity source</v>
      </c>
      <c r="M16" s="549" t="str">
        <f>L16</f>
        <v>Yet to provide electricity source</v>
      </c>
      <c r="O16" s="56"/>
    </row>
    <row r="17" spans="2:15">
      <c r="O17" s="56"/>
    </row>
    <row r="18" spans="2:15" ht="18">
      <c r="B18" s="100" t="s">
        <v>532</v>
      </c>
      <c r="C18" s="101"/>
      <c r="D18" s="101"/>
      <c r="E18" s="102">
        <f>PRODUCT(E5:E16)</f>
        <v>0</v>
      </c>
      <c r="F18" s="103"/>
      <c r="G18" s="103"/>
      <c r="H18" s="103"/>
      <c r="I18" s="104"/>
      <c r="J18" s="104"/>
      <c r="K18" s="104"/>
      <c r="L18" s="104"/>
      <c r="M18" s="105" t="str">
        <f>IF(COUNTIF(M5:M16,"*")&gt;0,"Pathway not chosen",SUM(M5:M16))</f>
        <v>Pathway not chosen</v>
      </c>
      <c r="N18" s="56"/>
    </row>
    <row r="19" spans="2:15" ht="18">
      <c r="B19" s="100" t="s">
        <v>533</v>
      </c>
      <c r="C19" s="101"/>
      <c r="D19" s="101"/>
      <c r="E19" s="104"/>
      <c r="F19" s="104"/>
      <c r="G19" s="104"/>
      <c r="H19" s="104"/>
      <c r="I19" s="104"/>
      <c r="J19" s="104"/>
      <c r="K19" s="104"/>
      <c r="L19" s="104"/>
      <c r="M19" s="106">
        <v>20</v>
      </c>
    </row>
    <row r="21" spans="2:15" ht="18">
      <c r="B21" s="104"/>
      <c r="C21" s="104"/>
      <c r="D21" s="104"/>
      <c r="E21" s="104"/>
      <c r="F21" s="104"/>
      <c r="G21" s="104"/>
      <c r="H21" s="104"/>
      <c r="I21" s="104"/>
      <c r="J21" s="104"/>
      <c r="K21" s="104"/>
      <c r="L21" s="104"/>
      <c r="M21" s="104"/>
      <c r="N21" s="104"/>
    </row>
    <row r="22" spans="2:15" ht="21">
      <c r="B22" s="108"/>
      <c r="C22" s="108"/>
      <c r="D22" s="108"/>
      <c r="E22" s="108"/>
      <c r="F22" s="108"/>
      <c r="G22" s="108"/>
      <c r="H22" s="108"/>
      <c r="I22" s="108"/>
      <c r="J22" s="108"/>
      <c r="K22" s="108"/>
      <c r="L22" s="108"/>
      <c r="M22" s="108"/>
    </row>
  </sheetData>
  <customSheetViews>
    <customSheetView guid="{43B6AE9C-E429-4506-98F3-C388B54AB8B6}" showGridLines="0" state="hidden">
      <pane xSplit="3" topLeftCell="D1" activePane="topRight" state="frozen"/>
      <selection pane="topRight"/>
      <pageMargins left="0" right="0" top="0" bottom="0" header="0" footer="0"/>
      <pageSetup paperSize="9" orientation="portrait" verticalDpi="0" r:id="rId1"/>
    </customSheetView>
    <customSheetView guid="{D41C0D8C-591E-4B34-99B3-B45BA51A58EC}" showGridLines="0">
      <pane xSplit="3" topLeftCell="D1" activePane="topRight" state="frozen"/>
      <selection pane="topRight"/>
      <pageMargins left="0" right="0" top="0" bottom="0" header="0" footer="0"/>
      <pageSetup paperSize="9" orientation="portrait" verticalDpi="0" r:id="rId2"/>
    </customSheetView>
    <customSheetView guid="{8F590910-6C03-4233-9C41-6540BF2DE453}" showGridLines="0" state="hidden">
      <pane xSplit="3" topLeftCell="D1" activePane="topRight" state="frozen"/>
      <selection pane="topRight"/>
      <pageMargins left="0" right="0" top="0" bottom="0" header="0" footer="0"/>
      <pageSetup paperSize="9" orientation="portrait" verticalDpi="0" r:id="rId3"/>
    </customSheetView>
    <customSheetView guid="{55CEC4CC-9BBF-4F2D-BA17-E94F4B26FAC5}" showGridLines="0" state="hidden">
      <pane xSplit="3" topLeftCell="D1" activePane="topRight" state="frozen"/>
      <selection pane="topRight"/>
      <pageMargins left="0" right="0" top="0" bottom="0" header="0" footer="0"/>
      <pageSetup paperSize="9" orientation="portrait" verticalDpi="0" r:id="rId4"/>
    </customSheetView>
    <customSheetView guid="{7735C88E-3A13-4DCF-BB32-4D20A306A8BB}" showGridLines="0" state="hidden">
      <pane xSplit="3" topLeftCell="D1" activePane="topRight" state="frozen"/>
      <selection pane="topRight"/>
      <pageMargins left="0" right="0" top="0" bottom="0" header="0" footer="0"/>
      <pageSetup paperSize="9" orientation="portrait" verticalDpi="0" r:id="rId5"/>
    </customSheetView>
    <customSheetView guid="{27B9E3C6-8189-41E0-896B-02A30393FDC0}" showGridLines="0" state="hidden">
      <pane xSplit="3" topLeftCell="D1" activePane="topRight" state="frozen"/>
      <selection pane="topRight"/>
      <pageMargins left="0" right="0" top="0" bottom="0" header="0" footer="0"/>
      <pageSetup paperSize="9" orientation="portrait" verticalDpi="0" r:id="rId6"/>
    </customSheetView>
    <customSheetView guid="{ED9AC919-98EB-43A3-A158-23FD7D007D30}" showGridLines="0">
      <pane xSplit="3" topLeftCell="D1" activePane="topRight" state="frozen"/>
      <selection pane="topRight" activeCell="D1" sqref="D1"/>
      <pageMargins left="0" right="0" top="0" bottom="0" header="0" footer="0"/>
      <pageSetup paperSize="9" orientation="portrait" verticalDpi="0" r:id="rId7"/>
    </customSheetView>
  </customSheetViews>
  <mergeCells count="8">
    <mergeCell ref="M3:M8"/>
    <mergeCell ref="J9:J14"/>
    <mergeCell ref="C3:C8"/>
    <mergeCell ref="C15:C16"/>
    <mergeCell ref="B9:B14"/>
    <mergeCell ref="E9:E14"/>
    <mergeCell ref="F9:F14"/>
    <mergeCell ref="I9:I14"/>
  </mergeCells>
  <pageMargins left="0" right="0" top="0" bottom="0" header="0" footer="0"/>
  <pageSetup paperSize="9" orientation="portrait" r:id="rId8"/>
  <ignoredErrors>
    <ignoredError sqref="F10:L14 G3 L3 F4:H4 L4 F17:M18 F15:K15 F16:K16 F5:L7 F8:L8 F9:L9" evalError="1"/>
  </ignoredErrors>
  <extLst>
    <ext xmlns:x14="http://schemas.microsoft.com/office/spreadsheetml/2009/9/main" uri="{78C0D931-6437-407d-A8EE-F0AAD7539E65}">
      <x14:conditionalFormattings>
        <x14:conditionalFormatting xmlns:xm="http://schemas.microsoft.com/office/excel/2006/main">
          <x14:cfRule type="expression" priority="3" id="{652FF980-D4C4-4C06-AEC9-5F9C87C45B14}">
            <xm:f>AND(Initial_questions!$E$21&lt;&gt;"Other",Master_Switch="On")</xm:f>
            <x14:dxf>
              <font>
                <color theme="0"/>
              </font>
              <fill>
                <patternFill>
                  <bgColor theme="0"/>
                </patternFill>
              </fill>
              <border>
                <left/>
                <right/>
                <top/>
                <bottom/>
                <vertical/>
                <horizontal/>
              </border>
            </x14:dxf>
          </x14:cfRule>
          <xm:sqref>A2:XFD100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0B8AC-67A7-4D9D-AAE4-268DFA1F1815}">
  <sheetPr codeName="Sheet19">
    <tabColor theme="8"/>
  </sheetPr>
  <dimension ref="A1:Z272"/>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480"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5" ht="31.8" customHeight="1">
      <c r="A1" s="83" t="str">
        <f>IF(AND(Initial_questions!$E$21&lt;&gt;"Electrolysis using grid electricity", Initial_questions!$E$21&lt;&gt;"Electrolysis using wind/solar electricity", Initial_questions!$E$21&lt;&gt;"Electrolysis using nuclear electricity", Initial_questions!$E$21&lt;&gt;"Electrolysis using other electricity input", Initial_questions!$E$21&lt;&gt;"Electrolysis using mixed electricity inputs",Master_Switch="On"),"User should not fill in this sheet, but switch to other non-blank GHG worksheets","")</f>
        <v>User should not fill in this sheet, but switch to other non-blank GHG worksheets</v>
      </c>
      <c r="E1" s="262"/>
    </row>
    <row r="2" spans="1:25" ht="20.399999999999999" customHeight="1">
      <c r="E2" s="262"/>
      <c r="I2" s="669" t="s">
        <v>754</v>
      </c>
      <c r="J2" s="669"/>
      <c r="K2" s="670"/>
    </row>
    <row r="3" spans="1:25" ht="15" customHeight="1">
      <c r="E3" s="262"/>
    </row>
    <row r="4" spans="1:25" ht="15.6" customHeight="1" thickBot="1">
      <c r="B4" s="3"/>
      <c r="C4" s="3"/>
      <c r="D4" s="3"/>
      <c r="E4" s="478"/>
      <c r="F4" s="3"/>
      <c r="G4" s="3"/>
      <c r="H4" s="1"/>
      <c r="I4" s="1"/>
      <c r="J4" s="1"/>
      <c r="K4" s="1"/>
      <c r="L4" s="37"/>
      <c r="M4" s="1"/>
      <c r="N4" s="1"/>
      <c r="O4" s="3"/>
      <c r="P4" s="1"/>
      <c r="Q4" s="1"/>
      <c r="R4" s="1"/>
      <c r="S4" s="37"/>
      <c r="T4" s="37"/>
      <c r="U4" s="37"/>
    </row>
    <row r="5" spans="1:25" s="19" customFormat="1" ht="94.2" customHeight="1" thickTop="1" thickBot="1">
      <c r="B5" s="11" t="s">
        <v>568</v>
      </c>
      <c r="C5" s="11" t="s">
        <v>569</v>
      </c>
      <c r="D5" s="11" t="s">
        <v>23</v>
      </c>
      <c r="E5" s="479" t="s">
        <v>488</v>
      </c>
      <c r="F5" s="11" t="s">
        <v>753</v>
      </c>
      <c r="G5" s="11" t="s">
        <v>570</v>
      </c>
      <c r="H5" s="11" t="s">
        <v>571</v>
      </c>
      <c r="I5" s="11" t="s">
        <v>572</v>
      </c>
      <c r="J5" s="11" t="s">
        <v>573</v>
      </c>
      <c r="K5" s="11" t="s">
        <v>574</v>
      </c>
      <c r="L5" s="541" t="s">
        <v>575</v>
      </c>
      <c r="M5" s="11"/>
      <c r="N5" s="11" t="s">
        <v>748</v>
      </c>
      <c r="O5" s="11" t="s">
        <v>749</v>
      </c>
      <c r="P5" s="11" t="s">
        <v>750</v>
      </c>
      <c r="Q5" s="11" t="s">
        <v>903</v>
      </c>
      <c r="R5" s="11" t="s">
        <v>576</v>
      </c>
      <c r="S5" s="11" t="s">
        <v>751</v>
      </c>
      <c r="T5" s="11"/>
      <c r="U5" s="11" t="s">
        <v>577</v>
      </c>
      <c r="V5"/>
    </row>
    <row r="6" spans="1:25" ht="15" thickTop="1"/>
    <row r="7" spans="1:25">
      <c r="B7" s="149" t="s">
        <v>578</v>
      </c>
      <c r="C7" s="149"/>
      <c r="D7" s="149"/>
      <c r="E7" s="332"/>
      <c r="F7" s="149"/>
      <c r="G7" s="149"/>
      <c r="H7" s="149"/>
      <c r="I7" s="149"/>
      <c r="J7" s="149"/>
      <c r="K7" s="149"/>
      <c r="L7" s="308"/>
      <c r="N7"/>
      <c r="O7"/>
      <c r="P7"/>
      <c r="Q7"/>
      <c r="R7" s="18"/>
      <c r="S7" s="40"/>
      <c r="V7" s="12"/>
    </row>
    <row r="8" spans="1:25">
      <c r="B8" s="16" t="s">
        <v>579</v>
      </c>
      <c r="C8" s="189" t="s">
        <v>580</v>
      </c>
      <c r="D8" s="112"/>
      <c r="E8" s="517"/>
      <c r="F8" s="113"/>
      <c r="G8" s="114"/>
      <c r="H8" s="114"/>
      <c r="I8" s="114"/>
      <c r="J8" s="517"/>
      <c r="K8" s="518"/>
      <c r="L8" s="542"/>
      <c r="M8" s="12"/>
      <c r="P8" s="40"/>
      <c r="Q8" s="40"/>
      <c r="R8" s="40"/>
      <c r="S8" s="40"/>
      <c r="V8" s="12"/>
    </row>
    <row r="9" spans="1:25" ht="14.4" customHeight="1">
      <c r="B9" s="16" t="s">
        <v>581</v>
      </c>
      <c r="C9" s="15" t="s">
        <v>946</v>
      </c>
      <c r="D9" s="15" t="s">
        <v>582</v>
      </c>
      <c r="E9" s="35">
        <f>Hydrogen_flow</f>
        <v>0</v>
      </c>
      <c r="F9" s="21"/>
      <c r="G9" s="21"/>
      <c r="H9" s="21"/>
      <c r="I9" s="21"/>
      <c r="J9" s="35">
        <v>120</v>
      </c>
      <c r="K9" s="313"/>
      <c r="L9" s="247">
        <f t="shared" ref="L9:L17" si="0">IF($D9="MWh/yr (LHV)",$E9,$J9*$E9/Conversion_kWh_to_MJ)</f>
        <v>0</v>
      </c>
      <c r="M9" s="12"/>
      <c r="N9" s="249" t="str">
        <f>IFERROR(L9/SUM(L21:L34),"")</f>
        <v/>
      </c>
      <c r="O9" s="250" t="str">
        <f>IFERROR(L9/(SUM($L$9:$L$18)),"")</f>
        <v/>
      </c>
      <c r="P9" s="42"/>
      <c r="Q9" s="93"/>
      <c r="R9" s="93"/>
      <c r="S9"/>
      <c r="U9" s="21"/>
      <c r="V9" s="12"/>
    </row>
    <row r="10" spans="1:25">
      <c r="B10" s="190" t="s">
        <v>583</v>
      </c>
      <c r="C10" s="188" t="s">
        <v>584</v>
      </c>
      <c r="D10" s="183" t="s">
        <v>747</v>
      </c>
      <c r="E10" s="313"/>
      <c r="F10" s="21"/>
      <c r="G10" s="21"/>
      <c r="H10" s="20"/>
      <c r="I10" s="20"/>
      <c r="J10" s="309"/>
      <c r="K10" s="309"/>
      <c r="L10" s="247">
        <f t="shared" si="0"/>
        <v>0</v>
      </c>
      <c r="M10" s="12"/>
      <c r="N10" s="19"/>
      <c r="O10" s="250" t="str">
        <f>IFERROR(L10/(SUM($L$9:$L$18)),"")</f>
        <v/>
      </c>
      <c r="P10" s="506"/>
      <c r="Q10" s="93"/>
      <c r="R10" s="93"/>
      <c r="S10"/>
      <c r="T10" s="23"/>
      <c r="U10" s="21"/>
      <c r="V10" s="12"/>
    </row>
    <row r="11" spans="1:25" ht="13.8" customHeight="1">
      <c r="B11" s="190" t="s">
        <v>583</v>
      </c>
      <c r="C11" s="188" t="s">
        <v>585</v>
      </c>
      <c r="D11" s="183" t="s">
        <v>582</v>
      </c>
      <c r="E11" s="313"/>
      <c r="F11" s="21"/>
      <c r="G11" s="21"/>
      <c r="H11" s="20"/>
      <c r="I11" s="20"/>
      <c r="J11" s="309"/>
      <c r="K11" s="309"/>
      <c r="L11" s="247">
        <f t="shared" si="0"/>
        <v>0</v>
      </c>
      <c r="M11" s="12"/>
      <c r="N11" s="192"/>
      <c r="O11" s="250" t="str">
        <f>IFERROR(L11/(SUM($L$9:$L$18)),"")</f>
        <v/>
      </c>
      <c r="P11" s="42"/>
      <c r="Q11" s="507"/>
      <c r="R11" s="507"/>
      <c r="S11" s="84"/>
      <c r="T11" s="23"/>
      <c r="U11" s="21"/>
      <c r="V11" s="12"/>
    </row>
    <row r="12" spans="1:25" ht="14.4" customHeight="1">
      <c r="B12" s="190" t="s">
        <v>583</v>
      </c>
      <c r="C12" s="188" t="s">
        <v>805</v>
      </c>
      <c r="D12" s="183" t="s">
        <v>582</v>
      </c>
      <c r="E12" s="313"/>
      <c r="F12" s="21"/>
      <c r="G12" s="21"/>
      <c r="H12" s="20"/>
      <c r="I12" s="20"/>
      <c r="J12" s="309"/>
      <c r="K12" s="309"/>
      <c r="L12" s="247">
        <f t="shared" si="0"/>
        <v>0</v>
      </c>
      <c r="M12" s="12"/>
      <c r="N12" s="192"/>
      <c r="O12" s="250" t="str">
        <f>IFERROR(L12/(SUM($L$9:$L$18)),"")</f>
        <v/>
      </c>
      <c r="P12" s="40"/>
      <c r="Q12" s="40"/>
      <c r="R12" s="40"/>
      <c r="S12" s="40"/>
      <c r="U12" s="21"/>
      <c r="V12" s="12"/>
    </row>
    <row r="13" spans="1:25" ht="14.4" customHeight="1">
      <c r="B13" s="190" t="s">
        <v>583</v>
      </c>
      <c r="C13" s="188" t="s">
        <v>806</v>
      </c>
      <c r="D13" s="183" t="s">
        <v>582</v>
      </c>
      <c r="E13" s="313"/>
      <c r="F13" s="21"/>
      <c r="G13" s="21"/>
      <c r="H13" s="20"/>
      <c r="I13" s="20"/>
      <c r="J13" s="309"/>
      <c r="K13" s="309"/>
      <c r="L13" s="247">
        <f t="shared" si="0"/>
        <v>0</v>
      </c>
      <c r="M13" s="12"/>
      <c r="N13" s="192"/>
      <c r="O13" s="250" t="str">
        <f>IFERROR(L13/(SUM($L$9:$L$18)),"")</f>
        <v/>
      </c>
      <c r="P13" s="40"/>
      <c r="Q13" s="39"/>
      <c r="R13" s="39"/>
      <c r="U13" s="21"/>
      <c r="V13" s="12"/>
    </row>
    <row r="14" spans="1:25" s="14" customFormat="1" ht="14.4" customHeight="1">
      <c r="B14" s="190" t="s">
        <v>586</v>
      </c>
      <c r="C14" s="188" t="s">
        <v>809</v>
      </c>
      <c r="D14" s="183" t="s">
        <v>582</v>
      </c>
      <c r="E14" s="313"/>
      <c r="F14" s="21"/>
      <c r="G14" s="21"/>
      <c r="H14" s="20"/>
      <c r="I14" s="20"/>
      <c r="J14" s="309"/>
      <c r="K14" s="309"/>
      <c r="L14" s="247">
        <f t="shared" si="0"/>
        <v>0</v>
      </c>
      <c r="M14" s="12"/>
      <c r="N14" s="192"/>
      <c r="O14" s="12"/>
      <c r="P14" s="110"/>
      <c r="Q14" s="116"/>
      <c r="R14" s="116"/>
      <c r="T14" s="23"/>
      <c r="U14" s="21"/>
      <c r="V14" s="23"/>
      <c r="W14" s="42"/>
      <c r="Y14" s="12"/>
    </row>
    <row r="15" spans="1:25" s="14" customFormat="1" ht="14.4" customHeight="1">
      <c r="B15" s="190" t="s">
        <v>586</v>
      </c>
      <c r="C15" s="188" t="s">
        <v>588</v>
      </c>
      <c r="D15" s="183" t="s">
        <v>582</v>
      </c>
      <c r="E15" s="313"/>
      <c r="F15" s="21"/>
      <c r="G15" s="21"/>
      <c r="H15" s="20"/>
      <c r="I15" s="20"/>
      <c r="J15" s="309"/>
      <c r="K15" s="309"/>
      <c r="L15" s="247">
        <f t="shared" si="0"/>
        <v>0</v>
      </c>
      <c r="M15" s="12"/>
      <c r="N15"/>
      <c r="O15"/>
      <c r="P15" s="110"/>
      <c r="Q15" s="93"/>
      <c r="R15" s="93"/>
      <c r="S15"/>
      <c r="T15" s="23"/>
      <c r="U15" s="21"/>
      <c r="V15" s="23"/>
      <c r="W15" s="42"/>
      <c r="Y15" s="12"/>
    </row>
    <row r="16" spans="1:25" s="14" customFormat="1">
      <c r="B16" s="190" t="s">
        <v>589</v>
      </c>
      <c r="C16" s="188" t="s">
        <v>590</v>
      </c>
      <c r="D16" s="183" t="s">
        <v>582</v>
      </c>
      <c r="E16" s="313"/>
      <c r="F16" s="21"/>
      <c r="G16" s="21"/>
      <c r="H16" s="20"/>
      <c r="I16" s="486"/>
      <c r="J16" s="309"/>
      <c r="K16" s="309"/>
      <c r="L16" s="247">
        <f t="shared" si="0"/>
        <v>0</v>
      </c>
      <c r="M16" s="12"/>
      <c r="N16"/>
      <c r="O16"/>
      <c r="P16" s="110"/>
      <c r="Q16" s="93"/>
      <c r="R16" s="93"/>
      <c r="S16"/>
      <c r="U16" s="21"/>
    </row>
    <row r="17" spans="1:26" s="14" customFormat="1">
      <c r="B17" s="190" t="s">
        <v>589</v>
      </c>
      <c r="C17" s="188" t="s">
        <v>591</v>
      </c>
      <c r="D17" s="183" t="s">
        <v>582</v>
      </c>
      <c r="E17" s="313"/>
      <c r="F17" s="21"/>
      <c r="G17" s="21"/>
      <c r="H17" s="20"/>
      <c r="I17" s="486"/>
      <c r="J17" s="309"/>
      <c r="K17" s="309"/>
      <c r="L17" s="247">
        <f t="shared" si="0"/>
        <v>0</v>
      </c>
      <c r="M17" s="12"/>
      <c r="N17"/>
      <c r="O17"/>
      <c r="P17" s="110"/>
      <c r="Q17" s="117"/>
      <c r="R17" s="117"/>
      <c r="S17" s="19"/>
      <c r="U17" s="21"/>
    </row>
    <row r="18" spans="1:26">
      <c r="B18" s="71"/>
      <c r="C18" s="72"/>
      <c r="D18" s="81"/>
      <c r="E18" s="76"/>
      <c r="F18" s="73"/>
      <c r="G18" s="82"/>
      <c r="H18" s="74"/>
      <c r="I18" s="74"/>
      <c r="J18" s="76"/>
      <c r="K18" s="76"/>
      <c r="L18" s="76"/>
      <c r="M18" s="12"/>
      <c r="P18" s="40"/>
      <c r="Q18" s="40"/>
      <c r="R18" s="40"/>
      <c r="S18" s="12"/>
      <c r="U18" s="79"/>
      <c r="V18" s="12"/>
    </row>
    <row r="19" spans="1:26" ht="31.2">
      <c r="B19" s="192" t="str">
        <f>IF(AND(GHG_ELECTROLYSIS!$D$6="Default",Master_Switch="On"),"Default data selected for the category below, move to the next category of the module","")</f>
        <v/>
      </c>
      <c r="C19" s="72"/>
      <c r="D19" s="81"/>
      <c r="E19" s="76"/>
      <c r="F19" s="73"/>
      <c r="G19" s="82"/>
      <c r="H19" s="74"/>
      <c r="I19" s="74"/>
      <c r="J19" s="76"/>
      <c r="K19" s="76"/>
      <c r="L19" s="76"/>
      <c r="M19" s="12"/>
      <c r="P19" s="40"/>
      <c r="Q19" s="40"/>
      <c r="R19" s="40"/>
      <c r="S19" s="386" t="s">
        <v>948</v>
      </c>
      <c r="U19" s="79"/>
      <c r="V19" s="12"/>
    </row>
    <row r="20" spans="1:26">
      <c r="A20" s="19"/>
      <c r="B20" s="149" t="s">
        <v>949</v>
      </c>
      <c r="C20" s="265"/>
      <c r="D20" s="265"/>
      <c r="E20" s="519"/>
      <c r="F20" s="263"/>
      <c r="G20" s="263"/>
      <c r="H20" s="155"/>
      <c r="I20" s="155"/>
      <c r="J20" s="519"/>
      <c r="K20" s="519"/>
      <c r="L20" s="519"/>
      <c r="M20" s="155"/>
      <c r="N20" s="156"/>
      <c r="O20" s="156"/>
      <c r="P20" s="508"/>
      <c r="Q20" s="508"/>
      <c r="R20" s="508"/>
      <c r="S20" s="157">
        <f>SUM(S21:S21)</f>
        <v>0</v>
      </c>
      <c r="T20" s="19"/>
      <c r="U20" s="19"/>
      <c r="V20" s="19"/>
      <c r="W20" s="19"/>
      <c r="X20" s="19"/>
      <c r="Y20" s="19"/>
      <c r="Z20" s="19"/>
    </row>
    <row r="21" spans="1:26" ht="28.8">
      <c r="A21" s="19"/>
      <c r="B21" s="190" t="s">
        <v>592</v>
      </c>
      <c r="C21" s="188" t="s">
        <v>950</v>
      </c>
      <c r="D21" s="183" t="s">
        <v>747</v>
      </c>
      <c r="E21" s="35" t="str">
        <f>Initial_questions!E35</f>
        <v>Enter annual usage</v>
      </c>
      <c r="F21" s="21"/>
      <c r="G21" s="21"/>
      <c r="H21" s="21"/>
      <c r="I21" s="21"/>
      <c r="J21" s="313"/>
      <c r="K21" s="313"/>
      <c r="L21" s="543" t="str">
        <f>IF($D21="MWh/yr (LHV)",$E21,$J21*$E21/Conversion_kWh_to_MJ)</f>
        <v>Enter annual usage</v>
      </c>
      <c r="M21" s="19"/>
      <c r="N21" s="19"/>
      <c r="O21" s="19"/>
      <c r="P21" s="509"/>
      <c r="Q21" s="307">
        <f>Assumptions!$C$14*1000/Conversion_kWh_to_MJ</f>
        <v>0</v>
      </c>
      <c r="R21" s="307" t="s">
        <v>800</v>
      </c>
      <c r="S21" s="367" t="str">
        <f>IF(E103&lt;&gt;0,IFERROR(IF(D21="tonnes/yr", $P21*$E21/($L$9*3.6*$E$103), $Q21*3.6*$E21/($L$9*3.6*$E$103)), "Unfilled fields to left"),"Electricity source not used")</f>
        <v>Unfilled fields to left</v>
      </c>
      <c r="T21" s="19"/>
      <c r="U21" s="21"/>
      <c r="V21" s="19"/>
      <c r="W21" s="19"/>
      <c r="X21" s="19"/>
      <c r="Y21" s="19"/>
      <c r="Z21" s="19"/>
    </row>
    <row r="22" spans="1:26">
      <c r="A22" s="19"/>
      <c r="C22" s="19"/>
      <c r="D22" s="19"/>
      <c r="E22" s="570"/>
      <c r="F22" s="17"/>
      <c r="G22" s="17"/>
      <c r="H22" s="17"/>
      <c r="I22" s="17"/>
      <c r="J22" s="144"/>
      <c r="K22" s="144"/>
      <c r="L22" s="117"/>
      <c r="M22" s="19"/>
      <c r="N22" s="19"/>
      <c r="O22" s="19"/>
      <c r="P22" s="117"/>
      <c r="Q22" s="117"/>
      <c r="R22" s="117"/>
      <c r="S22" s="19"/>
      <c r="T22" s="19"/>
      <c r="U22" s="19"/>
      <c r="V22" s="19"/>
      <c r="W22" s="19"/>
      <c r="X22" s="19"/>
      <c r="Y22" s="19"/>
      <c r="Z22" s="19"/>
    </row>
    <row r="23" spans="1:26" ht="31.2">
      <c r="A23" s="19"/>
      <c r="B23" s="192" t="str">
        <f>IF(AND(GHG_ELECTROLYSIS!$D$23="Default",Master_Switch="On"),"Default data selected for the category below, move to the next category of the module","")</f>
        <v/>
      </c>
      <c r="C23" s="268"/>
      <c r="D23" s="81"/>
      <c r="E23" s="510"/>
      <c r="F23" s="82"/>
      <c r="G23" s="82"/>
      <c r="H23" s="266"/>
      <c r="I23" s="266"/>
      <c r="J23" s="260"/>
      <c r="K23" s="260"/>
      <c r="L23" s="260"/>
      <c r="M23" s="19"/>
      <c r="N23" s="19"/>
      <c r="O23" s="19"/>
      <c r="P23" s="40"/>
      <c r="Q23" s="40"/>
      <c r="R23" s="40"/>
      <c r="S23" s="386" t="s">
        <v>593</v>
      </c>
      <c r="T23" s="19"/>
      <c r="U23" s="267"/>
      <c r="V23" s="19"/>
      <c r="W23" s="19"/>
      <c r="X23" s="19"/>
      <c r="Y23" s="19"/>
      <c r="Z23" s="19"/>
    </row>
    <row r="24" spans="1:26">
      <c r="A24" s="19"/>
      <c r="B24" s="149" t="s">
        <v>887</v>
      </c>
      <c r="C24" s="265"/>
      <c r="D24" s="265"/>
      <c r="E24" s="522"/>
      <c r="F24" s="263"/>
      <c r="G24" s="263"/>
      <c r="H24" s="155"/>
      <c r="I24" s="155"/>
      <c r="J24" s="519"/>
      <c r="K24" s="519"/>
      <c r="L24" s="519"/>
      <c r="M24" s="155"/>
      <c r="N24" s="156"/>
      <c r="O24" s="156"/>
      <c r="P24" s="508"/>
      <c r="Q24" s="508"/>
      <c r="R24" s="508"/>
      <c r="S24" s="157">
        <f>SUM(S25:S25)</f>
        <v>0</v>
      </c>
      <c r="T24" s="19"/>
      <c r="U24" s="19"/>
      <c r="V24" s="19"/>
      <c r="W24" s="19"/>
      <c r="X24" s="19"/>
      <c r="Y24" s="19"/>
      <c r="Z24" s="19"/>
    </row>
    <row r="25" spans="1:26" ht="28.8">
      <c r="A25" s="19"/>
      <c r="B25" s="190" t="s">
        <v>592</v>
      </c>
      <c r="C25" s="188" t="s">
        <v>951</v>
      </c>
      <c r="D25" s="183" t="s">
        <v>747</v>
      </c>
      <c r="E25" s="35" t="str">
        <f>Initial_questions!E36</f>
        <v>Enter annual usage</v>
      </c>
      <c r="F25" s="21"/>
      <c r="G25" s="21"/>
      <c r="H25" s="21"/>
      <c r="I25" s="21"/>
      <c r="J25" s="313"/>
      <c r="K25" s="313"/>
      <c r="L25" s="543" t="str">
        <f>IF($D25="MWh/yr (LHV)",$E25,$J25*$E25/Conversion_kWh_to_MJ)</f>
        <v>Enter annual usage</v>
      </c>
      <c r="M25" s="19"/>
      <c r="N25" s="19"/>
      <c r="O25" s="19"/>
      <c r="P25" s="509"/>
      <c r="Q25" s="307">
        <f>Assumptions!$C$13*1000/Conversion_kWh_to_MJ</f>
        <v>3.8888888888888888</v>
      </c>
      <c r="R25" s="307" t="s">
        <v>800</v>
      </c>
      <c r="S25" s="367" t="str">
        <f>IF(E104&lt;&gt;0,IFERROR(IF(D25="tonnes/yr", $P25*$E25/($L$9*3.6*$E$104), $Q25*3.6*$E25/($L$9*3.6*$E$104)), "Unfilled fields to left"),"Electricity source not used")</f>
        <v>Unfilled fields to left</v>
      </c>
      <c r="T25" s="19"/>
      <c r="U25" s="21"/>
      <c r="V25" s="19"/>
      <c r="W25" s="19"/>
      <c r="X25" s="19"/>
      <c r="Y25" s="19"/>
      <c r="Z25" s="19"/>
    </row>
    <row r="26" spans="1:26">
      <c r="C26" s="72"/>
      <c r="D26" s="72"/>
      <c r="E26" s="532"/>
      <c r="F26" s="73"/>
      <c r="G26" s="73"/>
      <c r="H26" s="74"/>
      <c r="I26" s="489"/>
      <c r="J26" s="76"/>
      <c r="K26" s="76"/>
      <c r="L26" s="76"/>
      <c r="M26" s="12"/>
      <c r="P26" s="78"/>
      <c r="Q26" s="76"/>
      <c r="R26" s="76"/>
      <c r="S26" s="12"/>
      <c r="U26" s="77"/>
      <c r="V26" s="12"/>
    </row>
    <row r="27" spans="1:26" s="19" customFormat="1" ht="31.2">
      <c r="B27" s="192" t="str">
        <f>IF(AND(GHG_ELECTROLYSIS!$D$40="Default",Master_Switch="On"),"Default data selected for the category below, move to the next category of the module","")</f>
        <v/>
      </c>
      <c r="C27" s="268"/>
      <c r="D27" s="81"/>
      <c r="E27" s="510"/>
      <c r="F27" s="82"/>
      <c r="G27" s="82"/>
      <c r="H27" s="266"/>
      <c r="I27" s="266"/>
      <c r="J27" s="260"/>
      <c r="K27" s="260"/>
      <c r="L27" s="260"/>
      <c r="P27" s="40"/>
      <c r="Q27" s="40"/>
      <c r="R27" s="40"/>
      <c r="S27" s="386" t="s">
        <v>594</v>
      </c>
      <c r="U27" s="267"/>
    </row>
    <row r="28" spans="1:26" s="19" customFormat="1">
      <c r="B28" s="149" t="s">
        <v>888</v>
      </c>
      <c r="C28" s="265"/>
      <c r="D28" s="265"/>
      <c r="E28" s="522"/>
      <c r="F28" s="263"/>
      <c r="G28" s="263"/>
      <c r="H28" s="155"/>
      <c r="I28" s="155"/>
      <c r="J28" s="519"/>
      <c r="K28" s="519"/>
      <c r="L28" s="519"/>
      <c r="M28" s="155"/>
      <c r="N28" s="156"/>
      <c r="O28" s="156"/>
      <c r="P28" s="508"/>
      <c r="Q28" s="508"/>
      <c r="R28" s="508"/>
      <c r="S28" s="157">
        <f>SUM(S29:S29)</f>
        <v>0</v>
      </c>
    </row>
    <row r="29" spans="1:26" s="19" customFormat="1" ht="28.8">
      <c r="B29" s="190" t="s">
        <v>592</v>
      </c>
      <c r="C29" s="188" t="s">
        <v>952</v>
      </c>
      <c r="D29" s="183" t="s">
        <v>747</v>
      </c>
      <c r="E29" s="35" t="str">
        <f>Initial_questions!E37</f>
        <v>Enter annual usage</v>
      </c>
      <c r="F29" s="21"/>
      <c r="G29" s="21"/>
      <c r="H29" s="21"/>
      <c r="I29" s="21"/>
      <c r="J29" s="313"/>
      <c r="K29" s="313"/>
      <c r="L29" s="543" t="str">
        <f>IF($D29="MWh/yr (LHV)",$E29,$J29*$E29/Conversion_kWh_to_MJ)</f>
        <v>Enter annual usage</v>
      </c>
      <c r="P29" s="509"/>
      <c r="Q29" s="307" t="e">
        <f>INDEX(Assumptions!$F$5:$AJ$5,1,MATCH(Initial_questions!$E$24,Assumptions!$F$4:$AJ$4,0))*1000/Conversion_kWh_to_MJ</f>
        <v>#N/A</v>
      </c>
      <c r="R29" s="307" t="s">
        <v>800</v>
      </c>
      <c r="S29" s="367" t="str">
        <f>IF(E105&lt;&gt;0,IFERROR(IF(D29="tonnes/yr", $P29*$E29/($L$9*3.6*$E$105), $Q29*3.6*$E29/($L$9*3.6*$E$105)), "Unfilled fields to left"),"Electricity source not used")</f>
        <v>Unfilled fields to left</v>
      </c>
      <c r="U29" s="21"/>
    </row>
    <row r="30" spans="1:26" s="19" customFormat="1">
      <c r="E30" s="570"/>
      <c r="F30" s="17"/>
      <c r="G30" s="17"/>
      <c r="H30" s="18"/>
      <c r="I30" s="18"/>
      <c r="J30" s="40"/>
      <c r="K30" s="40"/>
      <c r="L30" s="129"/>
      <c r="M30"/>
      <c r="P30" s="129"/>
      <c r="Q30" s="129"/>
      <c r="R30" s="129"/>
      <c r="S30" s="129"/>
      <c r="V30"/>
    </row>
    <row r="31" spans="1:26" s="19" customFormat="1" ht="31.2">
      <c r="B31" s="192" t="str">
        <f>IF(AND(GHG_ELECTROLYSIS!$D$58="Default",Master_Switch="On"),"Default data selected for the category below, move to the next category of the module","")</f>
        <v/>
      </c>
      <c r="C31" s="268"/>
      <c r="E31" s="570"/>
      <c r="F31" s="82"/>
      <c r="G31" s="82"/>
      <c r="H31" s="266"/>
      <c r="I31" s="266"/>
      <c r="J31" s="260"/>
      <c r="K31" s="260"/>
      <c r="L31" s="260"/>
      <c r="P31" s="40"/>
      <c r="Q31" s="40"/>
      <c r="R31" s="40"/>
      <c r="S31" s="386" t="s">
        <v>595</v>
      </c>
      <c r="U31" s="267"/>
    </row>
    <row r="32" spans="1:26" s="19" customFormat="1">
      <c r="B32" s="149" t="s">
        <v>924</v>
      </c>
      <c r="C32" s="265"/>
      <c r="D32" s="265"/>
      <c r="E32" s="522"/>
      <c r="F32" s="263"/>
      <c r="G32" s="263"/>
      <c r="H32" s="155"/>
      <c r="I32" s="155"/>
      <c r="J32" s="519"/>
      <c r="K32" s="519"/>
      <c r="L32" s="519"/>
      <c r="M32" s="155"/>
      <c r="N32" s="156"/>
      <c r="O32" s="156"/>
      <c r="P32" s="508"/>
      <c r="Q32" s="508"/>
      <c r="R32" s="508"/>
      <c r="S32" s="157">
        <f>SUM(S33:S33)</f>
        <v>0</v>
      </c>
    </row>
    <row r="33" spans="1:26" s="19" customFormat="1" ht="28.8">
      <c r="B33" s="190" t="s">
        <v>592</v>
      </c>
      <c r="C33" s="188" t="s">
        <v>953</v>
      </c>
      <c r="D33" s="183" t="s">
        <v>747</v>
      </c>
      <c r="E33" s="35" t="str">
        <f>Initial_questions!E38</f>
        <v>Enter annual usage</v>
      </c>
      <c r="F33" s="21"/>
      <c r="G33" s="21"/>
      <c r="H33" s="21"/>
      <c r="I33" s="21"/>
      <c r="J33" s="313"/>
      <c r="K33" s="313"/>
      <c r="L33" s="543" t="str">
        <f>IF($D33="MWh/yr (LHV)",$E33,$J33*$E33/Conversion_kWh_to_MJ)</f>
        <v>Enter annual usage</v>
      </c>
      <c r="P33" s="509"/>
      <c r="Q33" s="307">
        <f>Initial_questions!$E$39*1000/Conversion_kWh_to_MJ</f>
        <v>0</v>
      </c>
      <c r="R33" s="307" t="s">
        <v>800</v>
      </c>
      <c r="S33" s="367" t="str">
        <f>IF(E106&lt;&gt;0,IFERROR(IF(D33="tonnes/yr", $P33*$E33/($L$9*3.6*$E$106), $Q33*3.6*$E33/($L$9*3.6*$E$106)), "Unfilled fields to left"),"Electricity source not used")</f>
        <v>Unfilled fields to left</v>
      </c>
      <c r="U33" s="21"/>
    </row>
    <row r="34" spans="1:26" s="19" customFormat="1">
      <c r="E34" s="144"/>
      <c r="F34" s="17"/>
      <c r="G34" s="17"/>
      <c r="H34" s="17"/>
      <c r="I34" s="17"/>
      <c r="J34" s="144"/>
      <c r="K34" s="144"/>
      <c r="L34" s="117"/>
      <c r="P34" s="117"/>
      <c r="Q34" s="117"/>
      <c r="R34" s="117"/>
    </row>
    <row r="35" spans="1:26" ht="31.2">
      <c r="A35" s="19"/>
      <c r="B35" s="192" t="str">
        <f>IF(AND(OR(GHG_ELECTROLYSIS!$D$6="Default",GHG_ELECTROLYSIS!$D$23="Default", GHG_ELECTROLYSIS!$D$40="Default",GHG_ELECTROLYSIS!$D$58="Default"),Master_Switch="On"),"Default data selected for the category below, move to the next category of the module","")</f>
        <v/>
      </c>
      <c r="C35" s="268"/>
      <c r="D35" s="268"/>
      <c r="E35" s="524"/>
      <c r="F35" s="82"/>
      <c r="G35" s="82"/>
      <c r="H35" s="266"/>
      <c r="I35" s="490"/>
      <c r="J35" s="260"/>
      <c r="K35" s="260"/>
      <c r="L35" s="260"/>
      <c r="M35" s="19"/>
      <c r="N35" s="19"/>
      <c r="O35" s="19"/>
      <c r="P35" s="510"/>
      <c r="Q35" s="260"/>
      <c r="R35" s="260"/>
      <c r="S35" s="372" t="s">
        <v>596</v>
      </c>
      <c r="T35" s="19"/>
      <c r="U35" s="259"/>
      <c r="V35" s="19"/>
      <c r="W35" s="19"/>
      <c r="X35" s="19"/>
      <c r="Y35" s="19"/>
      <c r="Z35" s="19"/>
    </row>
    <row r="36" spans="1:26">
      <c r="A36" s="19"/>
      <c r="B36" s="149" t="s">
        <v>925</v>
      </c>
      <c r="C36" s="265"/>
      <c r="D36" s="265"/>
      <c r="E36" s="519"/>
      <c r="F36" s="263"/>
      <c r="G36" s="263"/>
      <c r="H36" s="155"/>
      <c r="I36" s="155"/>
      <c r="J36" s="519"/>
      <c r="K36" s="519"/>
      <c r="L36" s="519"/>
      <c r="M36" s="155"/>
      <c r="N36" s="156"/>
      <c r="O36" s="156"/>
      <c r="P36" s="508"/>
      <c r="Q36" s="508"/>
      <c r="R36" s="508"/>
      <c r="S36" s="157">
        <f>SUM(S37:S46)</f>
        <v>0</v>
      </c>
      <c r="T36" s="19"/>
      <c r="U36" s="19"/>
      <c r="V36" s="19"/>
      <c r="W36" s="19"/>
      <c r="X36" s="19"/>
      <c r="Y36" s="19"/>
      <c r="Z36" s="19"/>
    </row>
    <row r="37" spans="1:26">
      <c r="A37" s="19"/>
      <c r="B37" s="190" t="s">
        <v>592</v>
      </c>
      <c r="C37" s="188" t="s">
        <v>597</v>
      </c>
      <c r="D37" s="183" t="s">
        <v>747</v>
      </c>
      <c r="E37" s="313"/>
      <c r="F37" s="21"/>
      <c r="G37" s="21"/>
      <c r="H37" s="20"/>
      <c r="I37" s="486"/>
      <c r="J37" s="309"/>
      <c r="K37" s="309"/>
      <c r="L37" s="543">
        <f t="shared" ref="L37:L46" si="1">IF($D37="MWh/yr (LHV)",$E37,$J37*$E37/Conversion_kWh_to_MJ)</f>
        <v>0</v>
      </c>
      <c r="M37" s="262"/>
      <c r="N37" s="19"/>
      <c r="O37" s="19"/>
      <c r="P37" s="35" t="str">
        <f>IF(B37="", "", IF(D37="MWh/yr (LHV)", "Use column to right", "Enter data here"))</f>
        <v>Use column to right</v>
      </c>
      <c r="Q37" s="35" t="str">
        <f>IF(B37="", "", IF(D37="MWh/yr (LHV)", "Enter data here", "Use column to left"))</f>
        <v>Enter data here</v>
      </c>
      <c r="R37" s="35" t="s">
        <v>870</v>
      </c>
      <c r="S37" s="367" t="str">
        <f t="shared" ref="S37:S46" si="2">IFERROR(IF(D37="tonnes/yr", $P37*$E37/($L$9*3.6), $Q37*3.6*$E37/($L$9*3.6)), "Unfilled fields to left")</f>
        <v>Unfilled fields to left</v>
      </c>
      <c r="T37" s="19"/>
      <c r="U37" s="25"/>
      <c r="V37" s="19"/>
      <c r="W37" s="19"/>
      <c r="X37" s="19"/>
      <c r="Y37" s="19"/>
      <c r="Z37" s="19"/>
    </row>
    <row r="38" spans="1:26">
      <c r="A38" s="19"/>
      <c r="B38" s="190" t="s">
        <v>592</v>
      </c>
      <c r="C38" s="188" t="s">
        <v>598</v>
      </c>
      <c r="D38" s="183" t="s">
        <v>747</v>
      </c>
      <c r="E38" s="313"/>
      <c r="F38" s="491"/>
      <c r="G38" s="21"/>
      <c r="H38" s="20"/>
      <c r="I38" s="486"/>
      <c r="J38" s="309"/>
      <c r="K38" s="309"/>
      <c r="L38" s="543">
        <f t="shared" si="1"/>
        <v>0</v>
      </c>
      <c r="M38" s="19"/>
      <c r="N38" s="19"/>
      <c r="O38" s="19"/>
      <c r="P38" s="35" t="str">
        <f t="shared" ref="P38:P42" si="3">IF(B38="", "", IF(D38="MWh/yr (LHV)", "Use column to right", "Enter data here"))</f>
        <v>Use column to right</v>
      </c>
      <c r="Q38" s="35" t="str">
        <f t="shared" ref="Q38:Q42" si="4">IF(B38="", "", IF(D38="MWh/yr (LHV)", "Enter data here", "Use column to left"))</f>
        <v>Enter data here</v>
      </c>
      <c r="R38" s="35" t="s">
        <v>870</v>
      </c>
      <c r="S38" s="367" t="str">
        <f t="shared" si="2"/>
        <v>Unfilled fields to left</v>
      </c>
      <c r="T38" s="19"/>
      <c r="U38" s="25"/>
      <c r="V38" s="19"/>
      <c r="W38" s="19"/>
      <c r="X38" s="19"/>
      <c r="Y38" s="19"/>
      <c r="Z38" s="19"/>
    </row>
    <row r="39" spans="1:26">
      <c r="A39" s="19"/>
      <c r="B39" s="190" t="s">
        <v>599</v>
      </c>
      <c r="C39" s="188" t="s">
        <v>600</v>
      </c>
      <c r="D39" s="183" t="s">
        <v>582</v>
      </c>
      <c r="E39" s="313"/>
      <c r="F39" s="21"/>
      <c r="G39" s="21"/>
      <c r="H39" s="20"/>
      <c r="I39" s="486"/>
      <c r="J39" s="309"/>
      <c r="K39" s="309"/>
      <c r="L39" s="543">
        <f t="shared" si="1"/>
        <v>0</v>
      </c>
      <c r="M39" s="19"/>
      <c r="N39" s="19"/>
      <c r="O39" s="19"/>
      <c r="P39" s="35" t="str">
        <f t="shared" si="3"/>
        <v>Enter data here</v>
      </c>
      <c r="Q39" s="35" t="str">
        <f t="shared" si="4"/>
        <v>Use column to left</v>
      </c>
      <c r="R39" s="35" t="s">
        <v>870</v>
      </c>
      <c r="S39" s="367" t="str">
        <f t="shared" si="2"/>
        <v>Unfilled fields to left</v>
      </c>
      <c r="T39" s="19"/>
      <c r="U39" s="25"/>
      <c r="V39" s="19"/>
      <c r="W39" s="19"/>
      <c r="X39" s="19"/>
      <c r="Y39" s="19"/>
      <c r="Z39" s="19"/>
    </row>
    <row r="40" spans="1:26">
      <c r="A40" s="19"/>
      <c r="B40" s="190" t="s">
        <v>599</v>
      </c>
      <c r="C40" s="188" t="s">
        <v>601</v>
      </c>
      <c r="D40" s="183" t="s">
        <v>582</v>
      </c>
      <c r="E40" s="313"/>
      <c r="F40" s="21"/>
      <c r="G40" s="21"/>
      <c r="H40" s="21"/>
      <c r="I40" s="21"/>
      <c r="J40" s="313"/>
      <c r="K40" s="313"/>
      <c r="L40" s="543">
        <f t="shared" si="1"/>
        <v>0</v>
      </c>
      <c r="M40" s="19"/>
      <c r="N40" s="19"/>
      <c r="O40" s="19"/>
      <c r="P40" s="35" t="str">
        <f t="shared" si="3"/>
        <v>Enter data here</v>
      </c>
      <c r="Q40" s="35" t="str">
        <f t="shared" si="4"/>
        <v>Use column to left</v>
      </c>
      <c r="R40" s="35" t="s">
        <v>870</v>
      </c>
      <c r="S40" s="367" t="str">
        <f t="shared" si="2"/>
        <v>Unfilled fields to left</v>
      </c>
      <c r="T40" s="19"/>
      <c r="U40" s="21"/>
      <c r="V40" s="19"/>
      <c r="W40" s="19"/>
      <c r="X40" s="19"/>
      <c r="Y40" s="19"/>
      <c r="Z40" s="19"/>
    </row>
    <row r="41" spans="1:26">
      <c r="A41" s="19"/>
      <c r="B41" s="190" t="s">
        <v>599</v>
      </c>
      <c r="C41" s="188" t="s">
        <v>602</v>
      </c>
      <c r="D41" s="183" t="s">
        <v>582</v>
      </c>
      <c r="E41" s="313"/>
      <c r="F41" s="21"/>
      <c r="G41" s="21"/>
      <c r="H41" s="21"/>
      <c r="I41" s="21"/>
      <c r="J41" s="313"/>
      <c r="K41" s="313"/>
      <c r="L41" s="543">
        <f t="shared" si="1"/>
        <v>0</v>
      </c>
      <c r="M41" s="19"/>
      <c r="N41" s="19"/>
      <c r="O41" s="19"/>
      <c r="P41" s="35" t="str">
        <f t="shared" si="3"/>
        <v>Enter data here</v>
      </c>
      <c r="Q41" s="35" t="str">
        <f t="shared" si="4"/>
        <v>Use column to left</v>
      </c>
      <c r="R41" s="35" t="s">
        <v>870</v>
      </c>
      <c r="S41" s="367" t="str">
        <f t="shared" si="2"/>
        <v>Unfilled fields to left</v>
      </c>
      <c r="T41" s="19"/>
      <c r="U41" s="21"/>
      <c r="V41" s="19"/>
      <c r="W41" s="19"/>
      <c r="X41" s="19"/>
      <c r="Y41" s="19"/>
      <c r="Z41" s="19"/>
    </row>
    <row r="42" spans="1:26">
      <c r="A42" s="19"/>
      <c r="B42" s="190"/>
      <c r="C42" s="188"/>
      <c r="D42" s="183"/>
      <c r="E42" s="313"/>
      <c r="F42" s="21"/>
      <c r="G42" s="21"/>
      <c r="H42" s="21"/>
      <c r="I42" s="21"/>
      <c r="J42" s="313"/>
      <c r="K42" s="313"/>
      <c r="L42" s="543">
        <f t="shared" si="1"/>
        <v>0</v>
      </c>
      <c r="M42" s="19"/>
      <c r="N42" s="19"/>
      <c r="O42" s="19"/>
      <c r="P42" s="35" t="str">
        <f t="shared" si="3"/>
        <v/>
      </c>
      <c r="Q42" s="35" t="str">
        <f t="shared" si="4"/>
        <v/>
      </c>
      <c r="R42" s="35"/>
      <c r="S42" s="367" t="str">
        <f t="shared" si="2"/>
        <v>Unfilled fields to left</v>
      </c>
      <c r="T42" s="19"/>
      <c r="U42" s="21"/>
      <c r="V42" s="19"/>
      <c r="W42" s="19"/>
      <c r="X42" s="19"/>
      <c r="Y42" s="19"/>
      <c r="Z42" s="19"/>
    </row>
    <row r="43" spans="1:26">
      <c r="A43" s="19"/>
      <c r="B43" s="190"/>
      <c r="C43" s="188"/>
      <c r="D43" s="183"/>
      <c r="E43" s="313"/>
      <c r="F43" s="21"/>
      <c r="G43" s="21"/>
      <c r="H43" s="21"/>
      <c r="I43" s="21"/>
      <c r="J43" s="313"/>
      <c r="K43" s="313"/>
      <c r="L43" s="543">
        <f t="shared" si="1"/>
        <v>0</v>
      </c>
      <c r="M43" s="19"/>
      <c r="N43" s="19"/>
      <c r="O43" s="19"/>
      <c r="P43" s="35" t="str">
        <f t="shared" ref="P43:P46" si="5">IF(B43="", "", IF(D43="MWh/yr (LHV)", "Use column to right", "Enter data here"))</f>
        <v/>
      </c>
      <c r="Q43" s="35" t="str">
        <f t="shared" ref="Q43:Q46" si="6">IF(B43="", "", IF(D43="MWh/yr (LHV)", "Enter data here", "Use column to left"))</f>
        <v/>
      </c>
      <c r="R43" s="309"/>
      <c r="S43" s="367" t="str">
        <f t="shared" si="2"/>
        <v>Unfilled fields to left</v>
      </c>
      <c r="T43" s="19"/>
      <c r="U43" s="21"/>
      <c r="V43" s="19"/>
      <c r="W43" s="19"/>
      <c r="X43" s="19"/>
      <c r="Y43" s="19"/>
      <c r="Z43" s="19"/>
    </row>
    <row r="44" spans="1:26">
      <c r="A44" s="19"/>
      <c r="B44" s="190"/>
      <c r="C44" s="188"/>
      <c r="D44" s="183"/>
      <c r="E44" s="313"/>
      <c r="F44" s="21"/>
      <c r="G44" s="21"/>
      <c r="H44" s="21"/>
      <c r="I44" s="21"/>
      <c r="J44" s="313"/>
      <c r="K44" s="313"/>
      <c r="L44" s="543">
        <f t="shared" si="1"/>
        <v>0</v>
      </c>
      <c r="M44" s="19"/>
      <c r="N44" s="19"/>
      <c r="O44" s="19"/>
      <c r="P44" s="35" t="str">
        <f t="shared" si="5"/>
        <v/>
      </c>
      <c r="Q44" s="35" t="str">
        <f t="shared" si="6"/>
        <v/>
      </c>
      <c r="R44" s="309"/>
      <c r="S44" s="367" t="str">
        <f t="shared" si="2"/>
        <v>Unfilled fields to left</v>
      </c>
      <c r="T44" s="19"/>
      <c r="U44" s="21"/>
      <c r="V44" s="19"/>
      <c r="W44" s="19"/>
      <c r="X44" s="19"/>
      <c r="Y44" s="19"/>
      <c r="Z44" s="19"/>
    </row>
    <row r="45" spans="1:26">
      <c r="A45" s="19"/>
      <c r="B45" s="190"/>
      <c r="C45" s="188"/>
      <c r="D45" s="183"/>
      <c r="E45" s="313"/>
      <c r="F45" s="21"/>
      <c r="G45" s="21"/>
      <c r="H45" s="21"/>
      <c r="I45" s="21"/>
      <c r="J45" s="313"/>
      <c r="K45" s="313"/>
      <c r="L45" s="543">
        <f t="shared" si="1"/>
        <v>0</v>
      </c>
      <c r="M45" s="19"/>
      <c r="N45" s="19"/>
      <c r="O45" s="19"/>
      <c r="P45" s="35" t="str">
        <f t="shared" si="5"/>
        <v/>
      </c>
      <c r="Q45" s="35" t="str">
        <f t="shared" si="6"/>
        <v/>
      </c>
      <c r="R45" s="309"/>
      <c r="S45" s="367" t="str">
        <f t="shared" si="2"/>
        <v>Unfilled fields to left</v>
      </c>
      <c r="T45" s="19"/>
      <c r="U45" s="21"/>
      <c r="V45" s="19"/>
      <c r="W45" s="19"/>
      <c r="X45" s="19"/>
      <c r="Y45" s="19"/>
      <c r="Z45" s="19"/>
    </row>
    <row r="46" spans="1:26">
      <c r="A46" s="19"/>
      <c r="B46" s="190"/>
      <c r="C46" s="188"/>
      <c r="D46" s="183"/>
      <c r="E46" s="313"/>
      <c r="F46" s="21"/>
      <c r="G46" s="21"/>
      <c r="H46" s="21"/>
      <c r="I46" s="21"/>
      <c r="J46" s="313"/>
      <c r="K46" s="313"/>
      <c r="L46" s="543">
        <f t="shared" si="1"/>
        <v>0</v>
      </c>
      <c r="M46" s="19"/>
      <c r="N46" s="19"/>
      <c r="O46" s="19"/>
      <c r="P46" s="35" t="str">
        <f t="shared" si="5"/>
        <v/>
      </c>
      <c r="Q46" s="35" t="str">
        <f t="shared" si="6"/>
        <v/>
      </c>
      <c r="R46" s="309"/>
      <c r="S46" s="367" t="str">
        <f t="shared" si="2"/>
        <v>Unfilled fields to left</v>
      </c>
      <c r="T46" s="19"/>
      <c r="U46" s="21"/>
      <c r="V46" s="19"/>
      <c r="W46" s="19"/>
      <c r="X46" s="19"/>
      <c r="Y46" s="19"/>
      <c r="Z46" s="19"/>
    </row>
    <row r="47" spans="1:26">
      <c r="A47" s="19"/>
      <c r="C47" s="19"/>
      <c r="D47" s="19"/>
      <c r="E47" s="144"/>
      <c r="F47" s="17"/>
      <c r="G47" s="17"/>
      <c r="H47" s="17"/>
      <c r="I47" s="17"/>
      <c r="J47" s="144"/>
      <c r="K47" s="144"/>
      <c r="L47" s="117"/>
      <c r="M47" s="19"/>
      <c r="N47" s="19"/>
      <c r="O47" s="19"/>
      <c r="P47" s="144"/>
      <c r="Q47" s="144"/>
      <c r="R47" s="144"/>
      <c r="S47" s="19"/>
      <c r="T47" s="19"/>
      <c r="U47" s="19"/>
      <c r="V47" s="19"/>
      <c r="W47" s="19"/>
      <c r="X47" s="19"/>
      <c r="Y47" s="19"/>
      <c r="Z47" s="19"/>
    </row>
    <row r="48" spans="1:26" ht="31.2">
      <c r="B48" s="427" t="str">
        <f>IF(AND(OR(GHG_ELECTROLYSIS!$D$7="Default",GHG_ELECTROLYSIS!$D$24="Default",GHG_ELECTROLYSIS!$D$41="Default",GHG_ELECTROLYSIS!$D$59="Default"),Master_Switch="On"),"Default data selected for the category below, move to the next category of the module","")</f>
        <v/>
      </c>
      <c r="C48" s="72"/>
      <c r="D48" s="72"/>
      <c r="E48" s="146"/>
      <c r="F48" s="73"/>
      <c r="G48" s="73"/>
      <c r="H48" s="74"/>
      <c r="I48" s="489"/>
      <c r="J48" s="76"/>
      <c r="K48" s="76"/>
      <c r="L48" s="76"/>
      <c r="M48" s="12"/>
      <c r="P48" s="76"/>
      <c r="Q48" s="76"/>
      <c r="R48" s="76"/>
      <c r="S48" s="501" t="s">
        <v>596</v>
      </c>
      <c r="U48" s="77"/>
      <c r="V48" s="12"/>
    </row>
    <row r="49" spans="2:22" ht="15.6">
      <c r="B49" s="149" t="s">
        <v>889</v>
      </c>
      <c r="C49" s="158"/>
      <c r="D49" s="158"/>
      <c r="E49" s="525"/>
      <c r="F49" s="159"/>
      <c r="G49" s="159"/>
      <c r="H49" s="160"/>
      <c r="I49" s="492"/>
      <c r="J49" s="504"/>
      <c r="K49" s="504"/>
      <c r="L49" s="504"/>
      <c r="M49" s="162"/>
      <c r="N49" s="162"/>
      <c r="O49" s="162"/>
      <c r="P49" s="504"/>
      <c r="Q49" s="504"/>
      <c r="R49" s="504"/>
      <c r="S49" s="157">
        <f>SUM(S50:S59)</f>
        <v>0</v>
      </c>
      <c r="U49" s="77"/>
      <c r="V49" s="12"/>
    </row>
    <row r="50" spans="2:22">
      <c r="B50" s="190" t="s">
        <v>603</v>
      </c>
      <c r="C50" s="188" t="s">
        <v>604</v>
      </c>
      <c r="D50" s="183" t="s">
        <v>582</v>
      </c>
      <c r="E50" s="313"/>
      <c r="F50" s="21"/>
      <c r="G50" s="21"/>
      <c r="H50" s="21"/>
      <c r="I50" s="21"/>
      <c r="J50" s="313"/>
      <c r="K50" s="313"/>
      <c r="L50" s="247">
        <f t="shared" ref="L50:L59" si="7">IF($D50="MWh/yr (LHV)",$E50,$J50*$E50/Conversion_kWh_to_MJ)</f>
        <v>0</v>
      </c>
      <c r="M50" s="12"/>
      <c r="P50" s="35" t="str">
        <f t="shared" ref="P50:P59" si="8">IF(B50="", "", IF(D50="MWh/yr (LHV)", "Use column to right", "Enter data here"))</f>
        <v>Enter data here</v>
      </c>
      <c r="Q50" s="35" t="str">
        <f t="shared" ref="Q50:Q59" si="9">IF(B50="", "", IF(D50="MWh/yr (LHV)", "Enter data here", "Use column to left"))</f>
        <v>Use column to left</v>
      </c>
      <c r="R50" s="35" t="s">
        <v>870</v>
      </c>
      <c r="S50" s="247" t="str">
        <f t="shared" ref="S50:S59" si="10">IFERROR(IF(D50="tonnes/yr", $P50*$E50/($L$9*3.6), $Q50*3.6*$E50/($L$9*3.6)), "Unfilled fields to left")</f>
        <v>Unfilled fields to left</v>
      </c>
      <c r="U50" s="21"/>
      <c r="V50" s="12"/>
    </row>
    <row r="51" spans="2:22">
      <c r="B51" s="190" t="s">
        <v>605</v>
      </c>
      <c r="C51" s="188" t="s">
        <v>606</v>
      </c>
      <c r="D51" s="183" t="s">
        <v>582</v>
      </c>
      <c r="E51" s="313"/>
      <c r="F51" s="21"/>
      <c r="G51" s="21"/>
      <c r="H51" s="20"/>
      <c r="I51" s="486"/>
      <c r="J51" s="309"/>
      <c r="K51" s="309"/>
      <c r="L51" s="247">
        <f t="shared" si="7"/>
        <v>0</v>
      </c>
      <c r="M51" s="12"/>
      <c r="P51" s="35" t="str">
        <f t="shared" si="8"/>
        <v>Enter data here</v>
      </c>
      <c r="Q51" s="35" t="str">
        <f t="shared" si="9"/>
        <v>Use column to left</v>
      </c>
      <c r="R51" s="35" t="s">
        <v>870</v>
      </c>
      <c r="S51" s="247" t="str">
        <f t="shared" si="10"/>
        <v>Unfilled fields to left</v>
      </c>
      <c r="U51" s="25"/>
      <c r="V51" s="12"/>
    </row>
    <row r="52" spans="2:22">
      <c r="B52" s="190" t="s">
        <v>605</v>
      </c>
      <c r="C52" s="188" t="s">
        <v>607</v>
      </c>
      <c r="D52" s="183" t="s">
        <v>582</v>
      </c>
      <c r="E52" s="313"/>
      <c r="F52" s="21"/>
      <c r="G52" s="21"/>
      <c r="H52" s="20"/>
      <c r="I52" s="486"/>
      <c r="J52" s="309"/>
      <c r="K52" s="309"/>
      <c r="L52" s="247">
        <f t="shared" si="7"/>
        <v>0</v>
      </c>
      <c r="M52" s="12"/>
      <c r="P52" s="35" t="str">
        <f t="shared" si="8"/>
        <v>Enter data here</v>
      </c>
      <c r="Q52" s="35" t="str">
        <f t="shared" si="9"/>
        <v>Use column to left</v>
      </c>
      <c r="R52" s="35" t="s">
        <v>870</v>
      </c>
      <c r="S52" s="247" t="str">
        <f t="shared" si="10"/>
        <v>Unfilled fields to left</v>
      </c>
      <c r="U52" s="25"/>
      <c r="V52" s="12"/>
    </row>
    <row r="53" spans="2:22">
      <c r="B53" s="190" t="s">
        <v>605</v>
      </c>
      <c r="C53" s="188"/>
      <c r="D53" s="183"/>
      <c r="E53" s="313"/>
      <c r="F53" s="21"/>
      <c r="G53" s="21"/>
      <c r="H53" s="20"/>
      <c r="I53" s="486"/>
      <c r="J53" s="309"/>
      <c r="K53" s="309"/>
      <c r="L53" s="247">
        <f t="shared" si="7"/>
        <v>0</v>
      </c>
      <c r="M53" s="12"/>
      <c r="P53" s="35" t="str">
        <f t="shared" si="8"/>
        <v>Enter data here</v>
      </c>
      <c r="Q53" s="35" t="str">
        <f t="shared" si="9"/>
        <v>Use column to left</v>
      </c>
      <c r="R53" s="35" t="s">
        <v>870</v>
      </c>
      <c r="S53" s="247" t="str">
        <f t="shared" si="10"/>
        <v>Unfilled fields to left</v>
      </c>
      <c r="U53" s="25"/>
      <c r="V53" s="12"/>
    </row>
    <row r="54" spans="2:22">
      <c r="B54" s="190" t="s">
        <v>608</v>
      </c>
      <c r="C54" s="188" t="s">
        <v>609</v>
      </c>
      <c r="D54" s="183" t="s">
        <v>582</v>
      </c>
      <c r="E54" s="313"/>
      <c r="F54" s="21"/>
      <c r="G54" s="21"/>
      <c r="H54" s="20"/>
      <c r="I54" s="486"/>
      <c r="J54" s="309"/>
      <c r="K54" s="309"/>
      <c r="L54" s="247">
        <f t="shared" si="7"/>
        <v>0</v>
      </c>
      <c r="M54" s="12"/>
      <c r="P54" s="35" t="str">
        <f t="shared" si="8"/>
        <v>Enter data here</v>
      </c>
      <c r="Q54" s="35" t="str">
        <f t="shared" si="9"/>
        <v>Use column to left</v>
      </c>
      <c r="R54" s="35" t="s">
        <v>870</v>
      </c>
      <c r="S54" s="247" t="str">
        <f t="shared" si="10"/>
        <v>Unfilled fields to left</v>
      </c>
      <c r="U54" s="25"/>
      <c r="V54" s="12"/>
    </row>
    <row r="55" spans="2:22">
      <c r="B55" s="190" t="s">
        <v>608</v>
      </c>
      <c r="C55" s="188"/>
      <c r="D55" s="183"/>
      <c r="E55" s="313"/>
      <c r="F55" s="21"/>
      <c r="G55" s="21"/>
      <c r="H55" s="20"/>
      <c r="I55" s="486"/>
      <c r="J55" s="309"/>
      <c r="K55" s="309"/>
      <c r="L55" s="247">
        <f t="shared" si="7"/>
        <v>0</v>
      </c>
      <c r="M55" s="12"/>
      <c r="P55" s="35" t="str">
        <f t="shared" si="8"/>
        <v>Enter data here</v>
      </c>
      <c r="Q55" s="35" t="str">
        <f t="shared" si="9"/>
        <v>Use column to left</v>
      </c>
      <c r="R55" s="35" t="s">
        <v>870</v>
      </c>
      <c r="S55" s="247" t="str">
        <f t="shared" si="10"/>
        <v>Unfilled fields to left</v>
      </c>
      <c r="U55" s="25"/>
      <c r="V55" s="12"/>
    </row>
    <row r="56" spans="2:22">
      <c r="B56" s="190"/>
      <c r="C56" s="188"/>
      <c r="D56" s="183"/>
      <c r="E56" s="313"/>
      <c r="F56" s="57"/>
      <c r="G56" s="21"/>
      <c r="H56" s="20"/>
      <c r="I56" s="486"/>
      <c r="J56" s="309"/>
      <c r="K56" s="309"/>
      <c r="L56" s="247">
        <f t="shared" si="7"/>
        <v>0</v>
      </c>
      <c r="M56" s="12"/>
      <c r="P56" s="35" t="str">
        <f t="shared" si="8"/>
        <v/>
      </c>
      <c r="Q56" s="35" t="str">
        <f t="shared" si="9"/>
        <v/>
      </c>
      <c r="R56" s="35"/>
      <c r="S56" s="247" t="str">
        <f t="shared" si="10"/>
        <v>Unfilled fields to left</v>
      </c>
      <c r="U56" s="25"/>
      <c r="V56" s="12"/>
    </row>
    <row r="57" spans="2:22">
      <c r="B57" s="190"/>
      <c r="C57" s="188"/>
      <c r="D57" s="183"/>
      <c r="E57" s="313"/>
      <c r="F57" s="57"/>
      <c r="G57" s="21"/>
      <c r="H57" s="20"/>
      <c r="I57" s="486"/>
      <c r="J57" s="309"/>
      <c r="K57" s="309"/>
      <c r="L57" s="247">
        <f t="shared" si="7"/>
        <v>0</v>
      </c>
      <c r="M57" s="12"/>
      <c r="P57" s="35" t="str">
        <f t="shared" si="8"/>
        <v/>
      </c>
      <c r="Q57" s="35" t="str">
        <f t="shared" si="9"/>
        <v/>
      </c>
      <c r="R57" s="35"/>
      <c r="S57" s="247" t="str">
        <f t="shared" si="10"/>
        <v>Unfilled fields to left</v>
      </c>
      <c r="U57" s="25"/>
      <c r="V57" s="12"/>
    </row>
    <row r="58" spans="2:22">
      <c r="B58" s="190"/>
      <c r="C58" s="188"/>
      <c r="D58" s="183"/>
      <c r="E58" s="313"/>
      <c r="F58" s="57"/>
      <c r="G58" s="21"/>
      <c r="H58" s="20"/>
      <c r="I58" s="486"/>
      <c r="J58" s="309"/>
      <c r="K58" s="309"/>
      <c r="L58" s="247">
        <f t="shared" si="7"/>
        <v>0</v>
      </c>
      <c r="M58" s="12"/>
      <c r="P58" s="35" t="str">
        <f t="shared" si="8"/>
        <v/>
      </c>
      <c r="Q58" s="35" t="str">
        <f t="shared" si="9"/>
        <v/>
      </c>
      <c r="R58" s="35"/>
      <c r="S58" s="247" t="str">
        <f t="shared" si="10"/>
        <v>Unfilled fields to left</v>
      </c>
      <c r="U58" s="25"/>
      <c r="V58" s="12"/>
    </row>
    <row r="59" spans="2:22">
      <c r="B59" s="190"/>
      <c r="C59" s="188"/>
      <c r="D59" s="183"/>
      <c r="E59" s="313"/>
      <c r="F59" s="57"/>
      <c r="G59" s="21"/>
      <c r="H59" s="20"/>
      <c r="I59" s="486"/>
      <c r="J59" s="309"/>
      <c r="K59" s="309"/>
      <c r="L59" s="247">
        <f t="shared" si="7"/>
        <v>0</v>
      </c>
      <c r="M59" s="12"/>
      <c r="P59" s="35" t="str">
        <f t="shared" si="8"/>
        <v/>
      </c>
      <c r="Q59" s="35" t="str">
        <f t="shared" si="9"/>
        <v/>
      </c>
      <c r="R59" s="35"/>
      <c r="S59" s="247" t="str">
        <f t="shared" si="10"/>
        <v>Unfilled fields to left</v>
      </c>
      <c r="U59" s="25"/>
      <c r="V59" s="12"/>
    </row>
    <row r="60" spans="2:22">
      <c r="C60" s="86"/>
      <c r="D60" s="86"/>
      <c r="E60" s="526"/>
      <c r="F60" s="87"/>
      <c r="G60" s="87"/>
      <c r="H60" s="89"/>
      <c r="I60" s="89"/>
      <c r="J60" s="90"/>
      <c r="K60" s="90"/>
      <c r="L60" s="90"/>
      <c r="M60" s="28"/>
      <c r="N60" s="14"/>
      <c r="O60" s="14"/>
      <c r="P60" s="90"/>
      <c r="Q60" s="90"/>
      <c r="R60" s="90"/>
      <c r="S60" s="90"/>
      <c r="U60" s="27"/>
      <c r="V60" s="12"/>
    </row>
    <row r="61" spans="2:22">
      <c r="B61" s="14"/>
      <c r="C61" s="86"/>
      <c r="D61" s="86"/>
      <c r="E61" s="526"/>
      <c r="F61" s="87"/>
      <c r="G61" s="87"/>
      <c r="H61" s="89"/>
      <c r="I61" s="89"/>
      <c r="J61" s="90"/>
      <c r="K61" s="90"/>
      <c r="L61" s="90"/>
      <c r="M61" s="28"/>
      <c r="N61" s="14"/>
      <c r="O61" s="14"/>
      <c r="P61" s="90"/>
      <c r="Q61" s="90"/>
      <c r="R61" s="90"/>
      <c r="S61" s="370" t="s">
        <v>596</v>
      </c>
      <c r="U61" s="27"/>
      <c r="V61" s="12"/>
    </row>
    <row r="62" spans="2:22" s="14" customFormat="1" ht="15.6">
      <c r="B62" s="149" t="s">
        <v>813</v>
      </c>
      <c r="C62" s="163"/>
      <c r="D62" s="163"/>
      <c r="E62" s="527"/>
      <c r="F62" s="164"/>
      <c r="G62" s="164"/>
      <c r="H62" s="164"/>
      <c r="I62" s="164"/>
      <c r="J62" s="314"/>
      <c r="K62" s="314"/>
      <c r="L62" s="314"/>
      <c r="M62" s="166"/>
      <c r="N62" s="167"/>
      <c r="O62" s="156"/>
      <c r="P62" s="314"/>
      <c r="Q62" s="314"/>
      <c r="R62" s="314"/>
      <c r="S62" s="157">
        <f>SUM(S63:S67)</f>
        <v>0</v>
      </c>
      <c r="U62" s="73"/>
    </row>
    <row r="63" spans="2:22" s="14" customFormat="1">
      <c r="B63" s="190" t="s">
        <v>611</v>
      </c>
      <c r="C63" s="188" t="s">
        <v>835</v>
      </c>
      <c r="D63" s="183" t="s">
        <v>582</v>
      </c>
      <c r="E63" s="313"/>
      <c r="F63" s="21"/>
      <c r="G63" s="21"/>
      <c r="H63" s="21"/>
      <c r="I63" s="21"/>
      <c r="J63" s="313"/>
      <c r="K63" s="313"/>
      <c r="L63" s="247">
        <f>IF($D63="MWh/yr (LHV)",$E63,$J63*$E63/Conversion_kWh_to_MJ)</f>
        <v>0</v>
      </c>
      <c r="M63" s="12"/>
      <c r="N63" s="12"/>
      <c r="O63" s="12"/>
      <c r="P63" s="307">
        <v>1000</v>
      </c>
      <c r="Q63" s="505"/>
      <c r="R63" s="35" t="s">
        <v>651</v>
      </c>
      <c r="S63" s="247" t="str">
        <f>IFERROR(IF(D63="tonnes/yr", $P63*$E63/($L$9*3.6), $Q63*3.6*$E63/($L$9*3.6)), "Unfilled fields to left")</f>
        <v>Unfilled fields to left</v>
      </c>
      <c r="U63" s="21"/>
    </row>
    <row r="64" spans="2:22" s="14" customFormat="1">
      <c r="B64" s="190"/>
      <c r="C64" s="188"/>
      <c r="D64" s="183"/>
      <c r="E64" s="313"/>
      <c r="F64" s="66"/>
      <c r="G64" s="66"/>
      <c r="H64" s="66"/>
      <c r="I64" s="66"/>
      <c r="J64" s="311"/>
      <c r="K64" s="313"/>
      <c r="L64" s="247">
        <f>IF($D64="MWh/yr (LHV)",$E64,$J64*$E64/Conversion_kWh_to_MJ)</f>
        <v>0</v>
      </c>
      <c r="M64" s="12"/>
      <c r="N64" s="12"/>
      <c r="O64" s="12"/>
      <c r="P64" s="309"/>
      <c r="Q64" s="505"/>
      <c r="R64" s="309"/>
      <c r="S64" s="247" t="str">
        <f>IFERROR(IF(D64="tonnes/yr", $P64*$E64/($L$9*3.6), $Q64*3.6*$E64/($L$9*3.6)), "Unfilled fields to left")</f>
        <v>Unfilled fields to left</v>
      </c>
      <c r="U64" s="21"/>
    </row>
    <row r="65" spans="2:22" s="14" customFormat="1">
      <c r="B65" s="190"/>
      <c r="C65" s="188"/>
      <c r="D65" s="183"/>
      <c r="E65" s="313"/>
      <c r="F65" s="66"/>
      <c r="G65" s="66"/>
      <c r="H65" s="66"/>
      <c r="I65" s="66"/>
      <c r="J65" s="311"/>
      <c r="K65" s="313"/>
      <c r="L65" s="247">
        <f>IF($D65="MWh/yr (LHV)",$E65,$J65*$E65/Conversion_kWh_to_MJ)</f>
        <v>0</v>
      </c>
      <c r="M65" s="12"/>
      <c r="N65" s="12"/>
      <c r="O65" s="12"/>
      <c r="P65" s="309"/>
      <c r="Q65" s="505"/>
      <c r="R65" s="309"/>
      <c r="S65" s="247" t="str">
        <f>IFERROR(IF(D65="tonnes/yr", $P65*$E65/($L$9*3.6), $Q65*3.6*$E65/($L$9*3.6)), "Unfilled fields to left")</f>
        <v>Unfilled fields to left</v>
      </c>
      <c r="U65" s="21"/>
    </row>
    <row r="66" spans="2:22" s="14" customFormat="1">
      <c r="B66" s="190"/>
      <c r="C66" s="188"/>
      <c r="D66" s="183"/>
      <c r="E66" s="313"/>
      <c r="F66" s="66"/>
      <c r="G66" s="66"/>
      <c r="H66" s="66"/>
      <c r="I66" s="66"/>
      <c r="J66" s="311"/>
      <c r="K66" s="313"/>
      <c r="L66" s="247">
        <f>IF($D66="MWh/yr (LHV)",$E66,$J66*$E66/Conversion_kWh_to_MJ)</f>
        <v>0</v>
      </c>
      <c r="M66" s="12"/>
      <c r="N66" s="12"/>
      <c r="O66" s="12"/>
      <c r="P66" s="309"/>
      <c r="Q66" s="505"/>
      <c r="R66" s="309"/>
      <c r="S66" s="247" t="str">
        <f>IFERROR(IF(D66="tonnes/yr", $P66*$E66/($L$9*3.6), $Q66*3.6*$E66/($L$9*3.6)), "Unfilled fields to left")</f>
        <v>Unfilled fields to left</v>
      </c>
      <c r="U66" s="21"/>
    </row>
    <row r="67" spans="2:22" s="14" customFormat="1">
      <c r="B67" s="190"/>
      <c r="C67" s="188"/>
      <c r="D67" s="183"/>
      <c r="E67" s="313"/>
      <c r="F67" s="313"/>
      <c r="G67" s="313"/>
      <c r="H67" s="313"/>
      <c r="I67" s="313"/>
      <c r="J67" s="313"/>
      <c r="K67" s="313"/>
      <c r="L67" s="247">
        <f>IF($D67="MWh/yr (LHV)",$E67,$J67*$E67/Conversion_kWh_to_MJ)</f>
        <v>0</v>
      </c>
      <c r="M67" s="12"/>
      <c r="N67" s="12"/>
      <c r="O67" s="12"/>
      <c r="P67" s="309"/>
      <c r="Q67" s="505"/>
      <c r="R67" s="309"/>
      <c r="S67" s="247" t="str">
        <f>IFERROR(IF(D67="tonnes/yr", $P67*$E67/($L$9*3.6), $Q67*3.6*$E67/($L$9*3.6)), "Unfilled fields to left")</f>
        <v>Unfilled fields to left</v>
      </c>
      <c r="U67" s="21"/>
    </row>
    <row r="68" spans="2:22">
      <c r="B68" s="14"/>
      <c r="C68" s="86"/>
      <c r="D68" s="86"/>
      <c r="E68" s="526"/>
      <c r="F68" s="87"/>
      <c r="G68" s="87"/>
      <c r="H68" s="89"/>
      <c r="I68" s="89"/>
      <c r="J68" s="90"/>
      <c r="K68" s="90"/>
      <c r="L68" s="90"/>
      <c r="M68" s="28"/>
      <c r="N68" s="14"/>
      <c r="O68" s="14"/>
      <c r="P68" s="90"/>
      <c r="Q68" s="90"/>
      <c r="R68" s="90"/>
      <c r="S68" s="90"/>
      <c r="U68" s="27"/>
      <c r="V68" s="12"/>
    </row>
    <row r="69" spans="2:22">
      <c r="B69" s="14"/>
      <c r="C69" s="86"/>
      <c r="D69" s="86"/>
      <c r="E69" s="526"/>
      <c r="F69" s="87"/>
      <c r="G69" s="87"/>
      <c r="H69" s="89"/>
      <c r="I69" s="89"/>
      <c r="J69" s="90"/>
      <c r="K69" s="90"/>
      <c r="L69" s="90"/>
      <c r="M69" s="28"/>
      <c r="N69" s="14"/>
      <c r="O69" s="14"/>
      <c r="P69" s="90"/>
      <c r="Q69" s="90"/>
      <c r="R69" s="90"/>
      <c r="S69" s="370" t="s">
        <v>596</v>
      </c>
      <c r="U69" s="27"/>
      <c r="V69" s="12"/>
    </row>
    <row r="70" spans="2:22" ht="15.6">
      <c r="B70" s="149" t="s">
        <v>612</v>
      </c>
      <c r="C70" s="158"/>
      <c r="D70" s="158"/>
      <c r="E70" s="525"/>
      <c r="F70" s="159"/>
      <c r="G70" s="159"/>
      <c r="H70" s="160"/>
      <c r="I70" s="492"/>
      <c r="J70" s="504"/>
      <c r="K70" s="504"/>
      <c r="L70" s="504"/>
      <c r="M70" s="162"/>
      <c r="N70" s="162"/>
      <c r="O70" s="162"/>
      <c r="P70" s="504"/>
      <c r="Q70" s="504"/>
      <c r="R70" s="504"/>
      <c r="S70" s="157">
        <f>SUM(S71:S76)</f>
        <v>0</v>
      </c>
      <c r="U70" s="77"/>
      <c r="V70" s="12"/>
    </row>
    <row r="71" spans="2:22" s="14" customFormat="1">
      <c r="B71" s="190" t="s">
        <v>592</v>
      </c>
      <c r="C71" s="188" t="s">
        <v>613</v>
      </c>
      <c r="D71" s="183" t="s">
        <v>747</v>
      </c>
      <c r="E71" s="313"/>
      <c r="F71" s="21"/>
      <c r="G71" s="21"/>
      <c r="H71" s="66"/>
      <c r="I71" s="66"/>
      <c r="J71" s="311"/>
      <c r="K71" s="313"/>
      <c r="L71" s="247">
        <f t="shared" ref="L71:L76" si="11">IF($D71="MWh/yr (LHV)",$E71,$J71*$E71/Conversion_kWh_to_MJ)</f>
        <v>0</v>
      </c>
      <c r="M71" s="19"/>
      <c r="N71" s="19"/>
      <c r="O71" s="19"/>
      <c r="P71" s="307" t="str">
        <f>IF(B71="", "", IF(D71="MWh/yr (LHV)", "Use column to right", "Enter data here"))</f>
        <v>Use column to right</v>
      </c>
      <c r="Q71" s="307" t="e">
        <f>Initial_questions!$E$41*1000/Conversion_kWh_to_MJ</f>
        <v>#VALUE!</v>
      </c>
      <c r="R71" s="35" t="s">
        <v>799</v>
      </c>
      <c r="S71" s="247" t="str">
        <f t="shared" ref="S71:S76" si="12">IFERROR(IF(D71="tonnes/yr", $P71*$E71/($L$9*3.6), $Q71*3.6*$E71/($L$9*3.6)), "Unfilled fields to left")</f>
        <v>Unfilled fields to left</v>
      </c>
      <c r="U71" s="21"/>
    </row>
    <row r="72" spans="2:22" s="14" customFormat="1">
      <c r="B72" s="190" t="s">
        <v>592</v>
      </c>
      <c r="C72" s="188" t="s">
        <v>614</v>
      </c>
      <c r="D72" s="183" t="s">
        <v>747</v>
      </c>
      <c r="E72" s="313"/>
      <c r="F72" s="21"/>
      <c r="G72" s="21"/>
      <c r="H72" s="66"/>
      <c r="I72" s="66"/>
      <c r="J72" s="311"/>
      <c r="K72" s="313"/>
      <c r="L72" s="247">
        <f t="shared" si="11"/>
        <v>0</v>
      </c>
      <c r="M72" s="19"/>
      <c r="N72" s="19"/>
      <c r="O72" s="19"/>
      <c r="P72" s="307" t="str">
        <f t="shared" ref="P72:P75" si="13">IF(B72="", "", IF(D72="MWh/yr (LHV)", "Use column to right", "Enter data here"))</f>
        <v>Use column to right</v>
      </c>
      <c r="Q72" s="307" t="e">
        <f>INDEX(Assumptions!$F$5:$AJ$5,1,MATCH(Initial_questions!$E$24,Assumptions!$F$4:$AJ$4,0))*1000/Conversion_kWh_to_MJ</f>
        <v>#N/A</v>
      </c>
      <c r="R72" s="35" t="s">
        <v>896</v>
      </c>
      <c r="S72" s="247" t="str">
        <f t="shared" si="12"/>
        <v>Unfilled fields to left</v>
      </c>
      <c r="U72" s="68"/>
    </row>
    <row r="73" spans="2:22" s="14" customFormat="1">
      <c r="B73" s="190" t="s">
        <v>592</v>
      </c>
      <c r="C73" s="188" t="s">
        <v>879</v>
      </c>
      <c r="D73" s="183" t="s">
        <v>582</v>
      </c>
      <c r="E73" s="313"/>
      <c r="F73" s="21"/>
      <c r="G73" s="21"/>
      <c r="H73" s="66"/>
      <c r="I73" s="66"/>
      <c r="J73" s="311"/>
      <c r="K73" s="313"/>
      <c r="L73" s="247">
        <f t="shared" si="11"/>
        <v>0</v>
      </c>
      <c r="M73" s="19"/>
      <c r="N73" s="19"/>
      <c r="O73" s="19"/>
      <c r="P73" s="307" t="str">
        <f t="shared" si="13"/>
        <v>Enter data here</v>
      </c>
      <c r="Q73" s="307" t="str">
        <f>IF(B73="", "", IF(D73="MWh/yr (LHV)", "Enter data here", "Use column to left"))</f>
        <v>Use column to left</v>
      </c>
      <c r="R73" s="35" t="s">
        <v>871</v>
      </c>
      <c r="S73" s="247" t="str">
        <f t="shared" si="12"/>
        <v>Unfilled fields to left</v>
      </c>
      <c r="U73" s="68"/>
    </row>
    <row r="74" spans="2:22">
      <c r="B74" s="190" t="s">
        <v>592</v>
      </c>
      <c r="C74" s="188" t="s">
        <v>615</v>
      </c>
      <c r="D74" s="183" t="s">
        <v>582</v>
      </c>
      <c r="E74" s="313"/>
      <c r="F74" s="57"/>
      <c r="G74" s="21"/>
      <c r="H74" s="20"/>
      <c r="I74" s="486"/>
      <c r="J74" s="309"/>
      <c r="K74" s="309"/>
      <c r="L74" s="247">
        <f t="shared" si="11"/>
        <v>0</v>
      </c>
      <c r="M74" s="12"/>
      <c r="P74" s="307" t="str">
        <f t="shared" si="13"/>
        <v>Enter data here</v>
      </c>
      <c r="Q74" s="307" t="str">
        <f>IF(B74="", "", IF(D74="MWh/yr (LHV)", "Enter data here", "Use column to left"))</f>
        <v>Use column to left</v>
      </c>
      <c r="R74" s="35" t="s">
        <v>871</v>
      </c>
      <c r="S74" s="247" t="str">
        <f t="shared" si="12"/>
        <v>Unfilled fields to left</v>
      </c>
      <c r="U74" s="25"/>
      <c r="V74" s="12"/>
    </row>
    <row r="75" spans="2:22">
      <c r="B75" s="190" t="s">
        <v>592</v>
      </c>
      <c r="C75" s="188" t="s">
        <v>616</v>
      </c>
      <c r="D75" s="183" t="s">
        <v>747</v>
      </c>
      <c r="E75" s="313"/>
      <c r="F75" s="57"/>
      <c r="G75" s="21"/>
      <c r="H75" s="20"/>
      <c r="I75" s="486"/>
      <c r="J75" s="309"/>
      <c r="K75" s="309"/>
      <c r="L75" s="247">
        <f t="shared" si="11"/>
        <v>0</v>
      </c>
      <c r="M75" s="12"/>
      <c r="P75" s="307" t="str">
        <f t="shared" si="13"/>
        <v>Use column to right</v>
      </c>
      <c r="Q75" s="307" t="e">
        <f>INDEX(Assumptions!$F$5:$AJ$5,1,MATCH(Initial_questions!$E$24,Assumptions!$F$4:$AJ$4,0))*1000/Conversion_kWh_to_MJ</f>
        <v>#N/A</v>
      </c>
      <c r="R75" s="35" t="s">
        <v>896</v>
      </c>
      <c r="S75" s="247" t="str">
        <f t="shared" si="12"/>
        <v>Unfilled fields to left</v>
      </c>
      <c r="U75" s="25"/>
      <c r="V75" s="12"/>
    </row>
    <row r="76" spans="2:22">
      <c r="B76" s="190"/>
      <c r="C76" s="188"/>
      <c r="D76" s="183"/>
      <c r="E76" s="313"/>
      <c r="F76" s="57"/>
      <c r="G76" s="21"/>
      <c r="H76" s="20"/>
      <c r="I76" s="486"/>
      <c r="J76" s="309"/>
      <c r="K76" s="309"/>
      <c r="L76" s="247">
        <f t="shared" si="11"/>
        <v>0</v>
      </c>
      <c r="M76" s="12"/>
      <c r="P76" s="309"/>
      <c r="Q76" s="309"/>
      <c r="R76" s="309"/>
      <c r="S76" s="247" t="str">
        <f t="shared" si="12"/>
        <v>Unfilled fields to left</v>
      </c>
      <c r="U76" s="25"/>
      <c r="V76" s="12"/>
    </row>
    <row r="77" spans="2:22" s="14" customFormat="1">
      <c r="B77" s="71"/>
      <c r="C77" s="72"/>
      <c r="D77" s="72"/>
      <c r="E77" s="146"/>
      <c r="F77" s="73"/>
      <c r="G77" s="73"/>
      <c r="H77" s="74"/>
      <c r="I77" s="74"/>
      <c r="J77" s="76"/>
      <c r="K77" s="76"/>
      <c r="L77" s="76"/>
      <c r="M77" s="12"/>
      <c r="N77" s="12"/>
      <c r="O77" s="12"/>
      <c r="P77" s="76"/>
      <c r="Q77" s="76"/>
      <c r="R77" s="76"/>
      <c r="S77" s="76"/>
      <c r="U77" s="73"/>
    </row>
    <row r="78" spans="2:22" s="14" customFormat="1">
      <c r="B78" s="71"/>
      <c r="C78" s="72"/>
      <c r="D78" s="72"/>
      <c r="E78" s="146"/>
      <c r="F78" s="73"/>
      <c r="G78" s="73"/>
      <c r="H78" s="74"/>
      <c r="I78" s="74"/>
      <c r="J78" s="76"/>
      <c r="K78" s="76"/>
      <c r="L78" s="76"/>
      <c r="M78" s="12"/>
      <c r="N78" s="12"/>
      <c r="O78" s="12"/>
      <c r="P78" s="76"/>
      <c r="Q78" s="76"/>
      <c r="R78" s="76"/>
      <c r="S78" s="371" t="s">
        <v>596</v>
      </c>
      <c r="U78" s="73"/>
    </row>
    <row r="79" spans="2:22" s="14" customFormat="1" ht="15.6">
      <c r="B79" s="149" t="s">
        <v>617</v>
      </c>
      <c r="C79" s="163"/>
      <c r="D79" s="163"/>
      <c r="E79" s="527"/>
      <c r="F79" s="164"/>
      <c r="G79" s="164"/>
      <c r="H79" s="164"/>
      <c r="I79" s="164"/>
      <c r="J79" s="314"/>
      <c r="K79" s="314"/>
      <c r="L79" s="314"/>
      <c r="M79" s="166"/>
      <c r="N79" s="167"/>
      <c r="O79" s="156"/>
      <c r="P79" s="314"/>
      <c r="Q79" s="314"/>
      <c r="R79" s="314"/>
      <c r="S79" s="157">
        <f>SUM(S80:S84)</f>
        <v>0</v>
      </c>
      <c r="U79" s="73"/>
    </row>
    <row r="80" spans="2:22" s="14" customFormat="1">
      <c r="B80" s="190" t="s">
        <v>811</v>
      </c>
      <c r="C80" s="188" t="s">
        <v>816</v>
      </c>
      <c r="D80" s="183" t="s">
        <v>582</v>
      </c>
      <c r="E80" s="35">
        <f>E63*E107*(1-E108)</f>
        <v>0</v>
      </c>
      <c r="F80" s="66"/>
      <c r="G80" s="66"/>
      <c r="H80" s="66"/>
      <c r="I80" s="66"/>
      <c r="J80" s="311"/>
      <c r="K80" s="313"/>
      <c r="L80" s="247">
        <f>IF($D80="MWh/yr (LHV)",$E80,$J80*$E80/Conversion_kWh_to_MJ)</f>
        <v>0</v>
      </c>
      <c r="M80" s="12"/>
      <c r="N80" s="12"/>
      <c r="O80" s="12"/>
      <c r="P80" s="307">
        <v>-1000</v>
      </c>
      <c r="Q80" s="505"/>
      <c r="R80" s="35" t="s">
        <v>651</v>
      </c>
      <c r="S80" s="247" t="str">
        <f>IFERROR(IF(D80="tonnes/yr", $P80*$E80/($L$9*3.6), $Q80*3.6*$E80/($L$9*3.6)), "Unfilled fields to left")</f>
        <v>Unfilled fields to left</v>
      </c>
      <c r="U80" s="21"/>
    </row>
    <row r="81" spans="2:22" s="14" customFormat="1">
      <c r="B81" s="190"/>
      <c r="C81" s="188"/>
      <c r="D81" s="183"/>
      <c r="E81" s="313"/>
      <c r="F81" s="66"/>
      <c r="G81" s="66"/>
      <c r="H81" s="66"/>
      <c r="I81" s="66"/>
      <c r="J81" s="311"/>
      <c r="K81" s="313"/>
      <c r="L81" s="247">
        <f>IF($D81="MWh/yr (LHV)",$E81,$J81*$E81/Conversion_kWh_to_MJ)</f>
        <v>0</v>
      </c>
      <c r="M81" s="12"/>
      <c r="N81" s="12"/>
      <c r="O81" s="12"/>
      <c r="P81" s="309"/>
      <c r="Q81" s="505"/>
      <c r="R81" s="309"/>
      <c r="S81" s="247" t="str">
        <f>IFERROR(IF(D81="tonnes/yr", $P81*$E81/($L$9*3.6), $Q81*3.6*$E81/($L$9*3.6)), "Unfilled fields to left")</f>
        <v>Unfilled fields to left</v>
      </c>
      <c r="U81" s="21"/>
    </row>
    <row r="82" spans="2:22" s="14" customFormat="1">
      <c r="B82" s="190"/>
      <c r="C82" s="188"/>
      <c r="D82" s="183"/>
      <c r="E82" s="313"/>
      <c r="F82" s="66"/>
      <c r="G82" s="66"/>
      <c r="H82" s="66"/>
      <c r="I82" s="66"/>
      <c r="J82" s="311"/>
      <c r="K82" s="313"/>
      <c r="L82" s="247">
        <f>IF($D82="MWh/yr (LHV)",$E82,$J82*$E82/Conversion_kWh_to_MJ)</f>
        <v>0</v>
      </c>
      <c r="M82" s="12"/>
      <c r="N82" s="12"/>
      <c r="O82" s="12"/>
      <c r="P82" s="309"/>
      <c r="Q82" s="505"/>
      <c r="R82" s="309"/>
      <c r="S82" s="247" t="str">
        <f>IFERROR(IF(D82="tonnes/yr", $P82*$E82/($L$9*3.6), $Q82*3.6*$E82/($L$9*3.6)), "Unfilled fields to left")</f>
        <v>Unfilled fields to left</v>
      </c>
      <c r="U82" s="21"/>
    </row>
    <row r="83" spans="2:22" s="14" customFormat="1">
      <c r="B83" s="190"/>
      <c r="C83" s="188"/>
      <c r="D83" s="183"/>
      <c r="E83" s="313"/>
      <c r="F83" s="66"/>
      <c r="G83" s="66"/>
      <c r="H83" s="66"/>
      <c r="I83" s="66"/>
      <c r="J83" s="311"/>
      <c r="K83" s="313"/>
      <c r="L83" s="247">
        <f>IF($D83="MWh/yr (LHV)",$E83,$J83*$E83/Conversion_kWh_to_MJ)</f>
        <v>0</v>
      </c>
      <c r="M83" s="12"/>
      <c r="N83" s="12"/>
      <c r="O83" s="12"/>
      <c r="P83" s="309"/>
      <c r="Q83" s="505"/>
      <c r="R83" s="309"/>
      <c r="S83" s="247" t="str">
        <f>IFERROR(IF(D83="tonnes/yr", $P83*$E83/($L$9*3.6), $Q83*3.6*$E83/($L$9*3.6)), "Unfilled fields to left")</f>
        <v>Unfilled fields to left</v>
      </c>
      <c r="U83" s="21"/>
    </row>
    <row r="84" spans="2:22" s="14" customFormat="1">
      <c r="B84" s="190"/>
      <c r="C84" s="188"/>
      <c r="D84" s="183"/>
      <c r="E84" s="313"/>
      <c r="F84" s="313"/>
      <c r="G84" s="313"/>
      <c r="H84" s="313"/>
      <c r="I84" s="313"/>
      <c r="J84" s="313"/>
      <c r="K84" s="313"/>
      <c r="L84" s="247">
        <f>IF($D84="MWh/yr (LHV)",$E84,$J84*$E84/Conversion_kWh_to_MJ)</f>
        <v>0</v>
      </c>
      <c r="M84" s="12"/>
      <c r="N84" s="12"/>
      <c r="O84" s="12"/>
      <c r="P84" s="309"/>
      <c r="Q84" s="505"/>
      <c r="R84" s="309"/>
      <c r="S84" s="247" t="str">
        <f>IFERROR(IF(D84="tonnes/yr", $P84*$E84/($L$9*3.6), $Q84*3.6*$E84/($L$9*3.6)), "Unfilled fields to left")</f>
        <v>Unfilled fields to left</v>
      </c>
      <c r="U84" s="21"/>
    </row>
    <row r="85" spans="2:22" s="14" customFormat="1">
      <c r="B85" s="71"/>
      <c r="C85" s="72"/>
      <c r="D85" s="72"/>
      <c r="E85" s="146"/>
      <c r="F85" s="73"/>
      <c r="G85" s="73"/>
      <c r="H85" s="74"/>
      <c r="I85" s="74"/>
      <c r="J85" s="76"/>
      <c r="K85" s="76"/>
      <c r="L85" s="76"/>
      <c r="M85" s="12"/>
      <c r="N85" s="12"/>
      <c r="O85" s="12"/>
      <c r="P85" s="76"/>
      <c r="Q85" s="76"/>
      <c r="R85" s="76"/>
      <c r="S85" s="76"/>
      <c r="U85" s="73"/>
    </row>
    <row r="86" spans="2:22" s="14" customFormat="1">
      <c r="B86" s="71"/>
      <c r="C86" s="72"/>
      <c r="D86" s="72"/>
      <c r="E86" s="146"/>
      <c r="F86" s="73"/>
      <c r="G86" s="73"/>
      <c r="H86" s="74"/>
      <c r="I86" s="74"/>
      <c r="J86" s="76"/>
      <c r="K86" s="76"/>
      <c r="L86" s="76"/>
      <c r="M86" s="12"/>
      <c r="N86" s="12"/>
      <c r="O86" s="12"/>
      <c r="P86" s="76"/>
      <c r="Q86" s="76"/>
      <c r="R86" s="76"/>
      <c r="S86" s="371" t="s">
        <v>596</v>
      </c>
      <c r="U86" s="73"/>
    </row>
    <row r="87" spans="2:22" s="14" customFormat="1" ht="15.6">
      <c r="B87" s="149" t="s">
        <v>93</v>
      </c>
      <c r="C87" s="163"/>
      <c r="D87" s="163"/>
      <c r="E87" s="527"/>
      <c r="F87" s="164"/>
      <c r="G87" s="164"/>
      <c r="H87" s="164"/>
      <c r="I87" s="164"/>
      <c r="J87" s="314"/>
      <c r="K87" s="314"/>
      <c r="L87" s="314"/>
      <c r="M87" s="166"/>
      <c r="N87" s="167"/>
      <c r="O87" s="156"/>
      <c r="P87" s="314"/>
      <c r="Q87" s="314"/>
      <c r="R87" s="314"/>
      <c r="S87" s="157">
        <f>SUM(S88:S95)</f>
        <v>0</v>
      </c>
      <c r="U87" s="73"/>
    </row>
    <row r="88" spans="2:22" s="14" customFormat="1">
      <c r="B88" s="190" t="s">
        <v>618</v>
      </c>
      <c r="C88" s="188" t="s">
        <v>823</v>
      </c>
      <c r="D88" s="183" t="s">
        <v>582</v>
      </c>
      <c r="E88" s="313"/>
      <c r="F88" s="21"/>
      <c r="G88" s="21"/>
      <c r="H88" s="21"/>
      <c r="I88" s="21"/>
      <c r="J88" s="313"/>
      <c r="K88" s="313"/>
      <c r="L88" s="247">
        <f t="shared" ref="L88:L95" si="14">IF($D88="MWh/yr (LHV)",$E88,$J88*$E88/Conversion_kWh_to_MJ)</f>
        <v>0</v>
      </c>
      <c r="M88" s="12"/>
      <c r="N88" s="12"/>
      <c r="O88" s="12"/>
      <c r="P88" s="307">
        <f t="shared" ref="P88" si="15">28*1000</f>
        <v>28000</v>
      </c>
      <c r="Q88" s="505"/>
      <c r="R88" s="35" t="s">
        <v>651</v>
      </c>
      <c r="S88" s="247" t="str">
        <f t="shared" ref="S88:S95" si="16">IFERROR(IF(D88="tonnes/yr", $P88*$E88/($L$9*3.6), $Q88*3.6*$E88/($L$9*3.6)), "Unfilled fields to left")</f>
        <v>Unfilled fields to left</v>
      </c>
      <c r="U88" s="21"/>
    </row>
    <row r="89" spans="2:22" s="14" customFormat="1">
      <c r="B89" s="191" t="s">
        <v>619</v>
      </c>
      <c r="C89" s="188" t="s">
        <v>824</v>
      </c>
      <c r="D89" s="183" t="s">
        <v>582</v>
      </c>
      <c r="E89" s="313"/>
      <c r="F89" s="68"/>
      <c r="G89" s="68"/>
      <c r="H89" s="69"/>
      <c r="I89" s="69"/>
      <c r="J89" s="315"/>
      <c r="K89" s="315"/>
      <c r="L89" s="247">
        <f t="shared" si="14"/>
        <v>0</v>
      </c>
      <c r="M89" s="19"/>
      <c r="N89" s="19"/>
      <c r="O89" s="19"/>
      <c r="P89" s="307">
        <v>265000</v>
      </c>
      <c r="Q89" s="505"/>
      <c r="R89" s="511" t="s">
        <v>651</v>
      </c>
      <c r="S89" s="247" t="str">
        <f t="shared" si="16"/>
        <v>Unfilled fields to left</v>
      </c>
      <c r="U89" s="68"/>
    </row>
    <row r="90" spans="2:22" s="14" customFormat="1">
      <c r="B90" s="191" t="s">
        <v>620</v>
      </c>
      <c r="C90" s="188" t="s">
        <v>825</v>
      </c>
      <c r="D90" s="183" t="s">
        <v>582</v>
      </c>
      <c r="E90" s="313"/>
      <c r="F90" s="68"/>
      <c r="G90" s="68"/>
      <c r="H90" s="69"/>
      <c r="I90" s="69"/>
      <c r="J90" s="315"/>
      <c r="K90" s="315"/>
      <c r="L90" s="247">
        <f t="shared" si="14"/>
        <v>0</v>
      </c>
      <c r="M90" s="19"/>
      <c r="N90" s="19"/>
      <c r="O90" s="19"/>
      <c r="P90" s="307">
        <v>23500000</v>
      </c>
      <c r="Q90" s="505"/>
      <c r="R90" s="511" t="s">
        <v>651</v>
      </c>
      <c r="S90" s="247" t="str">
        <f t="shared" si="16"/>
        <v>Unfilled fields to left</v>
      </c>
      <c r="U90" s="68"/>
    </row>
    <row r="91" spans="2:22" s="14" customFormat="1">
      <c r="B91" s="191" t="s">
        <v>621</v>
      </c>
      <c r="C91" s="188" t="s">
        <v>826</v>
      </c>
      <c r="D91" s="183" t="s">
        <v>582</v>
      </c>
      <c r="E91" s="313"/>
      <c r="F91" s="68"/>
      <c r="G91" s="68"/>
      <c r="H91" s="69"/>
      <c r="I91" s="69"/>
      <c r="J91" s="315"/>
      <c r="K91" s="315"/>
      <c r="L91" s="247">
        <f t="shared" si="14"/>
        <v>0</v>
      </c>
      <c r="M91" s="19"/>
      <c r="N91" s="19"/>
      <c r="O91" s="19"/>
      <c r="P91" s="512" t="s">
        <v>622</v>
      </c>
      <c r="Q91" s="505"/>
      <c r="R91" s="315"/>
      <c r="S91" s="247" t="str">
        <f t="shared" si="16"/>
        <v>Unfilled fields to left</v>
      </c>
      <c r="U91" s="68"/>
    </row>
    <row r="92" spans="2:22" s="14" customFormat="1">
      <c r="B92" s="191" t="s">
        <v>621</v>
      </c>
      <c r="C92" s="188" t="s">
        <v>826</v>
      </c>
      <c r="D92" s="183" t="s">
        <v>582</v>
      </c>
      <c r="E92" s="313"/>
      <c r="F92" s="68"/>
      <c r="G92" s="68"/>
      <c r="H92" s="69"/>
      <c r="I92" s="69"/>
      <c r="J92" s="315"/>
      <c r="K92" s="315"/>
      <c r="L92" s="247">
        <f t="shared" si="14"/>
        <v>0</v>
      </c>
      <c r="M92" s="19"/>
      <c r="N92" s="19"/>
      <c r="O92" s="19"/>
      <c r="P92" s="512" t="s">
        <v>622</v>
      </c>
      <c r="Q92" s="505"/>
      <c r="R92" s="315"/>
      <c r="S92" s="247" t="str">
        <f t="shared" si="16"/>
        <v>Unfilled fields to left</v>
      </c>
      <c r="U92" s="68"/>
    </row>
    <row r="93" spans="2:22" s="14" customFormat="1">
      <c r="B93" s="191" t="s">
        <v>621</v>
      </c>
      <c r="C93" s="188" t="s">
        <v>826</v>
      </c>
      <c r="D93" s="183" t="s">
        <v>582</v>
      </c>
      <c r="E93" s="313"/>
      <c r="F93" s="68"/>
      <c r="G93" s="68"/>
      <c r="H93" s="69"/>
      <c r="I93" s="69"/>
      <c r="J93" s="315"/>
      <c r="K93" s="315"/>
      <c r="L93" s="247">
        <f t="shared" si="14"/>
        <v>0</v>
      </c>
      <c r="M93" s="19"/>
      <c r="N93" s="19"/>
      <c r="O93" s="19"/>
      <c r="P93" s="512" t="s">
        <v>622</v>
      </c>
      <c r="Q93" s="505"/>
      <c r="R93" s="315"/>
      <c r="S93" s="247" t="str">
        <f t="shared" si="16"/>
        <v>Unfilled fields to left</v>
      </c>
      <c r="U93" s="68"/>
    </row>
    <row r="94" spans="2:22" s="14" customFormat="1">
      <c r="B94" s="191"/>
      <c r="C94" s="188"/>
      <c r="D94" s="184"/>
      <c r="E94" s="528"/>
      <c r="F94" s="68"/>
      <c r="G94" s="68"/>
      <c r="H94" s="69"/>
      <c r="I94" s="69"/>
      <c r="J94" s="315"/>
      <c r="K94" s="315"/>
      <c r="L94" s="247">
        <f t="shared" si="14"/>
        <v>0</v>
      </c>
      <c r="M94" s="19"/>
      <c r="N94" s="19"/>
      <c r="O94" s="19"/>
      <c r="P94" s="309"/>
      <c r="Q94" s="505"/>
      <c r="R94" s="315"/>
      <c r="S94" s="247" t="str">
        <f t="shared" si="16"/>
        <v>Unfilled fields to left</v>
      </c>
      <c r="U94" s="68"/>
    </row>
    <row r="95" spans="2:22" s="14" customFormat="1">
      <c r="B95" s="191"/>
      <c r="C95" s="188"/>
      <c r="D95" s="184"/>
      <c r="E95" s="528"/>
      <c r="F95" s="68"/>
      <c r="G95" s="68"/>
      <c r="H95" s="69"/>
      <c r="I95" s="69"/>
      <c r="J95" s="315"/>
      <c r="K95" s="315"/>
      <c r="L95" s="247">
        <f t="shared" si="14"/>
        <v>0</v>
      </c>
      <c r="M95" s="19"/>
      <c r="N95" s="19"/>
      <c r="O95" s="19"/>
      <c r="P95" s="309"/>
      <c r="Q95" s="505"/>
      <c r="R95" s="315"/>
      <c r="S95" s="247" t="str">
        <f t="shared" si="16"/>
        <v>Unfilled fields to left</v>
      </c>
      <c r="U95" s="68"/>
    </row>
    <row r="96" spans="2:22">
      <c r="C96" s="17"/>
      <c r="D96" s="17"/>
      <c r="E96" s="144"/>
      <c r="F96" s="17"/>
      <c r="G96" s="17"/>
      <c r="H96" s="18"/>
      <c r="I96" s="18"/>
      <c r="J96" s="40"/>
      <c r="K96" s="40"/>
      <c r="L96" s="40"/>
      <c r="M96" s="12"/>
      <c r="P96" s="40"/>
      <c r="Q96" s="40"/>
      <c r="R96" s="40"/>
      <c r="S96" s="40"/>
      <c r="V96" s="12"/>
    </row>
    <row r="97" spans="1:26">
      <c r="E97" s="110"/>
      <c r="I97" s="12"/>
      <c r="J97" s="110"/>
      <c r="K97" s="110"/>
      <c r="L97" s="110"/>
      <c r="M97" s="12"/>
      <c r="P97" s="39"/>
      <c r="Q97" s="39"/>
      <c r="R97" s="513" t="s">
        <v>947</v>
      </c>
      <c r="S97" s="574">
        <f>IF(OR(COUNTIF(Initial_questions!$E$95,"Default"), COUNTIF(Initial_questions!$E$97:$E$98,"Default")),"Default data selected",IF(E103=0,"",SUM(S20,S36,S49,S62,S70,S79,S87)))</f>
        <v>0</v>
      </c>
      <c r="V97" s="12"/>
    </row>
    <row r="98" spans="1:26">
      <c r="E98" s="110"/>
      <c r="I98" s="12"/>
      <c r="J98" s="110"/>
      <c r="K98" s="110"/>
      <c r="L98" s="110"/>
      <c r="M98" s="12"/>
      <c r="P98" s="110"/>
      <c r="Q98" s="110"/>
      <c r="R98" s="513" t="s">
        <v>623</v>
      </c>
      <c r="S98" s="575">
        <f>IF(OR(COUNTIF(Initial_questions!$E$95,"Default"), COUNTIF(Initial_questions!$E$97:$E$98,"Default")),"Default data selected",IF(E104=0,"",SUM(S24,S36,S49,S62,S70,S79,S87)))</f>
        <v>0</v>
      </c>
      <c r="V98" s="12"/>
    </row>
    <row r="99" spans="1:26">
      <c r="E99" s="110"/>
      <c r="I99" s="12"/>
      <c r="J99" s="110"/>
      <c r="K99" s="110"/>
      <c r="L99" s="110"/>
      <c r="M99" s="12"/>
      <c r="P99" s="110"/>
      <c r="Q99" s="110"/>
      <c r="R99" s="38" t="s">
        <v>624</v>
      </c>
      <c r="S99" s="576">
        <f>IF(OR(COUNTIF(Initial_questions!$E$95,"Default"), COUNTIF(Initial_questions!$E$97:$E$98,"Default")),"Default data selected",IF(E105=0,"",SUM(S28,S36,S49,S62,S70,S79,S87)))</f>
        <v>0</v>
      </c>
      <c r="V99" s="12"/>
    </row>
    <row r="100" spans="1:26">
      <c r="E100" s="110"/>
      <c r="I100" s="12"/>
      <c r="J100" s="110"/>
      <c r="K100" s="110"/>
      <c r="L100" s="110"/>
      <c r="M100" s="12"/>
      <c r="P100" s="110"/>
      <c r="Q100" s="110"/>
      <c r="R100" s="513" t="s">
        <v>625</v>
      </c>
      <c r="S100" s="577">
        <f>IF(OR(COUNTIF(Initial_questions!$E$95,"Default"), COUNTIF(Initial_questions!$E$97:$E$98,"Default")),"Default data selected",IF(E106=0,"",SUM(S32,S36,S49,S62,S70,S79,S87)))</f>
        <v>0</v>
      </c>
      <c r="V100" s="12"/>
    </row>
    <row r="101" spans="1:26">
      <c r="B101" s="149" t="s">
        <v>94</v>
      </c>
      <c r="C101" s="163"/>
      <c r="D101" s="163"/>
      <c r="E101" s="527"/>
      <c r="G101" s="19"/>
      <c r="H101" s="12"/>
      <c r="I101" s="12"/>
      <c r="J101" s="110"/>
      <c r="K101" s="110"/>
      <c r="L101" s="110"/>
      <c r="M101" s="12"/>
      <c r="P101" s="110"/>
      <c r="Q101" s="110"/>
      <c r="R101" s="110"/>
      <c r="S101" s="12"/>
      <c r="V101" s="12"/>
    </row>
    <row r="102" spans="1:26">
      <c r="B102" s="16" t="s">
        <v>626</v>
      </c>
      <c r="C102" s="15" t="s">
        <v>627</v>
      </c>
      <c r="D102" s="15" t="s">
        <v>628</v>
      </c>
      <c r="E102" s="529"/>
      <c r="H102" s="12"/>
      <c r="I102" s="12"/>
      <c r="J102" s="110"/>
      <c r="K102" s="110"/>
      <c r="L102" s="110"/>
      <c r="M102" s="12"/>
      <c r="P102" s="110"/>
      <c r="Q102" s="110"/>
      <c r="R102" s="39"/>
      <c r="U102" s="25"/>
      <c r="V102" s="12"/>
    </row>
    <row r="103" spans="1:26">
      <c r="B103" s="16" t="s">
        <v>629</v>
      </c>
      <c r="C103" s="15" t="s">
        <v>943</v>
      </c>
      <c r="D103" s="15" t="s">
        <v>497</v>
      </c>
      <c r="E103" s="485" t="str">
        <f>IFERROR(Initial_questions!E35/SUM(Initial_questions!E35:E38), "Electricity inputs not specified")</f>
        <v>Electricity inputs not specified</v>
      </c>
      <c r="H103" s="12"/>
      <c r="I103" s="12"/>
      <c r="J103" s="110"/>
      <c r="K103" s="110"/>
      <c r="L103" s="110"/>
      <c r="M103" s="12"/>
      <c r="P103" s="39"/>
      <c r="Q103" s="39"/>
      <c r="R103" s="39"/>
      <c r="U103" s="25"/>
    </row>
    <row r="104" spans="1:26">
      <c r="B104" s="16" t="s">
        <v>629</v>
      </c>
      <c r="C104" s="15" t="s">
        <v>130</v>
      </c>
      <c r="D104" s="15" t="s">
        <v>497</v>
      </c>
      <c r="E104" s="485" t="str">
        <f>IFERROR(Initial_questions!E36/SUM(Initial_questions!E35:E38), "Electricity inputs not specified")</f>
        <v>Electricity inputs not specified</v>
      </c>
      <c r="H104" s="12"/>
      <c r="I104" s="12"/>
      <c r="J104" s="110"/>
      <c r="K104" s="110"/>
      <c r="L104" s="110"/>
      <c r="M104" s="12"/>
      <c r="P104" s="39"/>
      <c r="Q104" s="39"/>
      <c r="R104" s="39"/>
      <c r="U104" s="25"/>
    </row>
    <row r="105" spans="1:26">
      <c r="B105" s="16" t="s">
        <v>629</v>
      </c>
      <c r="C105" s="15" t="s">
        <v>384</v>
      </c>
      <c r="D105" s="15" t="s">
        <v>497</v>
      </c>
      <c r="E105" s="485" t="str">
        <f>IFERROR(Initial_questions!E37/SUM(Initial_questions!E35:E38), "Electricity inputs not specified")</f>
        <v>Electricity inputs not specified</v>
      </c>
      <c r="H105" s="12"/>
      <c r="I105" s="12"/>
      <c r="J105" s="110"/>
      <c r="K105" s="110"/>
      <c r="L105" s="110"/>
      <c r="M105" s="12"/>
      <c r="P105" s="39"/>
      <c r="Q105" s="39"/>
      <c r="R105" s="39"/>
      <c r="U105" s="25"/>
    </row>
    <row r="106" spans="1:26">
      <c r="B106" s="16" t="s">
        <v>629</v>
      </c>
      <c r="C106" s="15" t="s">
        <v>630</v>
      </c>
      <c r="D106" s="15" t="s">
        <v>497</v>
      </c>
      <c r="E106" s="485" t="str">
        <f>IFERROR(Initial_questions!E38/SUM(Initial_questions!E35:E38), "Electricity inputs not specified")</f>
        <v>Electricity inputs not specified</v>
      </c>
      <c r="H106" s="12"/>
      <c r="I106" s="12"/>
      <c r="J106" s="110"/>
      <c r="K106" s="110"/>
      <c r="L106" s="110"/>
      <c r="M106" s="12"/>
      <c r="P106" s="39"/>
      <c r="Q106" s="39"/>
      <c r="R106" s="39"/>
      <c r="U106" s="25"/>
    </row>
    <row r="107" spans="1:26">
      <c r="B107" s="16" t="s">
        <v>642</v>
      </c>
      <c r="C107" s="15" t="s">
        <v>643</v>
      </c>
      <c r="D107" s="15" t="s">
        <v>497</v>
      </c>
      <c r="E107" s="539"/>
      <c r="H107" s="12"/>
      <c r="I107" s="12"/>
      <c r="J107" s="110"/>
      <c r="K107" s="110"/>
      <c r="L107" s="110"/>
      <c r="M107" s="12"/>
      <c r="P107" s="39"/>
      <c r="Q107" s="39"/>
      <c r="R107" s="39"/>
      <c r="U107" s="25"/>
    </row>
    <row r="108" spans="1:26">
      <c r="B108" s="16" t="s">
        <v>654</v>
      </c>
      <c r="C108" s="15" t="s">
        <v>655</v>
      </c>
      <c r="D108" s="15" t="s">
        <v>497</v>
      </c>
      <c r="E108" s="539"/>
      <c r="H108" s="12"/>
      <c r="I108" s="12"/>
      <c r="J108" s="110"/>
      <c r="K108" s="110"/>
      <c r="L108" s="110"/>
      <c r="M108" s="12"/>
      <c r="P108" s="39"/>
      <c r="Q108" s="39"/>
      <c r="R108" s="39"/>
      <c r="U108" s="25"/>
    </row>
    <row r="109" spans="1:26">
      <c r="B109" s="16"/>
      <c r="C109" s="15"/>
      <c r="D109" s="15"/>
      <c r="E109" s="529"/>
      <c r="H109" s="12"/>
      <c r="I109" s="12"/>
      <c r="J109" s="110"/>
      <c r="K109" s="110"/>
      <c r="L109" s="110"/>
      <c r="M109" s="12"/>
      <c r="P109" s="39"/>
      <c r="Q109" s="39"/>
      <c r="R109" s="39"/>
      <c r="U109" s="25"/>
    </row>
    <row r="110" spans="1:26">
      <c r="A110" s="19"/>
      <c r="E110" s="530"/>
      <c r="F110" s="19"/>
      <c r="G110" s="19"/>
      <c r="H110" s="19"/>
      <c r="I110" s="19"/>
      <c r="J110" s="117"/>
      <c r="K110" s="117"/>
      <c r="L110" s="117"/>
      <c r="M110" s="19"/>
      <c r="N110" s="19"/>
      <c r="O110" s="19"/>
      <c r="P110" s="129"/>
      <c r="Q110" s="129"/>
      <c r="R110" s="129"/>
      <c r="S110" s="129"/>
      <c r="T110" s="19"/>
      <c r="U110" s="19"/>
      <c r="V110" s="19"/>
      <c r="W110" s="19"/>
      <c r="X110" s="19"/>
      <c r="Y110" s="19"/>
      <c r="Z110" s="19"/>
    </row>
    <row r="111" spans="1:26">
      <c r="E111" s="117"/>
      <c r="J111" s="39"/>
      <c r="K111" s="39"/>
      <c r="P111" s="39"/>
      <c r="Q111" s="39"/>
      <c r="R111" s="39"/>
      <c r="V111" s="19"/>
    </row>
    <row r="112" spans="1:26">
      <c r="E112" s="117"/>
      <c r="J112" s="39"/>
      <c r="K112" s="39"/>
      <c r="P112" s="39"/>
      <c r="Q112" s="39"/>
      <c r="R112" s="39"/>
    </row>
    <row r="113" spans="5:18">
      <c r="E113" s="117"/>
      <c r="J113" s="39"/>
      <c r="K113" s="39"/>
      <c r="P113" s="39"/>
      <c r="Q113" s="39"/>
      <c r="R113" s="39"/>
    </row>
    <row r="114" spans="5:18">
      <c r="E114" s="117"/>
      <c r="J114" s="39"/>
      <c r="K114" s="39"/>
      <c r="P114" s="39"/>
      <c r="Q114" s="39"/>
      <c r="R114" s="39"/>
    </row>
    <row r="115" spans="5:18">
      <c r="E115" s="117"/>
      <c r="J115" s="39"/>
      <c r="K115" s="39"/>
      <c r="P115" s="39"/>
      <c r="Q115" s="39"/>
      <c r="R115" s="39"/>
    </row>
    <row r="116" spans="5:18">
      <c r="E116" s="117"/>
      <c r="J116" s="39"/>
      <c r="K116" s="39"/>
      <c r="P116" s="39"/>
      <c r="Q116" s="39"/>
      <c r="R116" s="39"/>
    </row>
    <row r="117" spans="5:18">
      <c r="E117" s="117"/>
      <c r="J117" s="39"/>
      <c r="K117" s="39"/>
      <c r="P117" s="39"/>
      <c r="Q117" s="39"/>
      <c r="R117" s="39"/>
    </row>
    <row r="118" spans="5:18">
      <c r="E118" s="117"/>
      <c r="J118" s="39"/>
      <c r="K118" s="39"/>
      <c r="P118" s="39"/>
      <c r="Q118" s="39"/>
      <c r="R118" s="39"/>
    </row>
    <row r="119" spans="5:18">
      <c r="E119" s="117"/>
      <c r="J119" s="39"/>
      <c r="K119" s="39"/>
      <c r="P119" s="39"/>
      <c r="Q119" s="39"/>
      <c r="R119" s="39"/>
    </row>
    <row r="120" spans="5:18">
      <c r="E120" s="117"/>
      <c r="J120" s="39"/>
      <c r="K120" s="39"/>
      <c r="P120" s="39"/>
      <c r="Q120" s="39"/>
      <c r="R120" s="39"/>
    </row>
    <row r="121" spans="5:18">
      <c r="E121" s="117"/>
      <c r="J121" s="39"/>
      <c r="K121" s="39"/>
      <c r="P121" s="39"/>
      <c r="Q121" s="39"/>
      <c r="R121" s="39"/>
    </row>
    <row r="122" spans="5:18">
      <c r="E122" s="117"/>
      <c r="J122" s="39"/>
      <c r="K122" s="39"/>
      <c r="P122" s="39"/>
      <c r="Q122" s="39"/>
      <c r="R122" s="39"/>
    </row>
    <row r="123" spans="5:18">
      <c r="E123" s="117"/>
      <c r="J123" s="39"/>
      <c r="K123" s="39"/>
      <c r="P123" s="39"/>
      <c r="Q123" s="39"/>
      <c r="R123" s="39"/>
    </row>
    <row r="124" spans="5:18">
      <c r="E124" s="117"/>
      <c r="P124" s="39"/>
      <c r="Q124" s="39"/>
      <c r="R124" s="39"/>
    </row>
    <row r="125" spans="5:18">
      <c r="E125" s="117"/>
      <c r="P125" s="39"/>
      <c r="Q125" s="39"/>
      <c r="R125" s="39"/>
    </row>
    <row r="126" spans="5:18">
      <c r="E126" s="117"/>
      <c r="P126" s="39"/>
      <c r="Q126" s="39"/>
      <c r="R126" s="39"/>
    </row>
    <row r="127" spans="5:18">
      <c r="E127" s="117"/>
      <c r="P127" s="39"/>
      <c r="Q127" s="39"/>
      <c r="R127" s="39"/>
    </row>
    <row r="128" spans="5:18">
      <c r="E128" s="117"/>
      <c r="P128" s="39"/>
      <c r="Q128" s="39"/>
      <c r="R128" s="39"/>
    </row>
    <row r="129" spans="5:18">
      <c r="E129" s="117"/>
      <c r="P129" s="39"/>
      <c r="Q129" s="39"/>
      <c r="R129" s="39"/>
    </row>
    <row r="130" spans="5:18">
      <c r="E130" s="117"/>
      <c r="P130" s="39"/>
      <c r="Q130" s="39"/>
      <c r="R130" s="39"/>
    </row>
    <row r="131" spans="5:18">
      <c r="E131" s="117"/>
      <c r="P131" s="39"/>
      <c r="Q131" s="39"/>
      <c r="R131" s="39"/>
    </row>
    <row r="132" spans="5:18">
      <c r="E132" s="117"/>
      <c r="P132" s="39"/>
      <c r="Q132" s="39"/>
      <c r="R132" s="39"/>
    </row>
    <row r="133" spans="5:18">
      <c r="E133" s="117"/>
      <c r="P133" s="39"/>
      <c r="Q133" s="39"/>
      <c r="R133" s="39"/>
    </row>
    <row r="134" spans="5:18">
      <c r="E134" s="117"/>
      <c r="P134" s="39"/>
      <c r="Q134" s="39"/>
      <c r="R134" s="39"/>
    </row>
    <row r="135" spans="5:18">
      <c r="E135" s="117"/>
      <c r="P135" s="39"/>
      <c r="Q135" s="39"/>
      <c r="R135" s="39"/>
    </row>
    <row r="136" spans="5:18">
      <c r="E136" s="117"/>
      <c r="P136" s="39"/>
      <c r="Q136" s="39"/>
      <c r="R136" s="39"/>
    </row>
    <row r="137" spans="5:18">
      <c r="E137" s="117"/>
      <c r="P137" s="39"/>
      <c r="Q137" s="39"/>
      <c r="R137" s="39"/>
    </row>
    <row r="138" spans="5:18">
      <c r="E138" s="117"/>
      <c r="P138" s="39"/>
      <c r="Q138" s="39"/>
      <c r="R138" s="39"/>
    </row>
    <row r="139" spans="5:18">
      <c r="E139" s="117"/>
      <c r="P139" s="39"/>
      <c r="Q139" s="39"/>
      <c r="R139" s="39"/>
    </row>
    <row r="140" spans="5:18">
      <c r="E140" s="117"/>
      <c r="P140" s="39"/>
      <c r="Q140" s="39"/>
      <c r="R140" s="39"/>
    </row>
    <row r="141" spans="5:18">
      <c r="E141" s="117"/>
      <c r="P141" s="39"/>
      <c r="Q141" s="39"/>
      <c r="R141" s="39"/>
    </row>
    <row r="142" spans="5:18">
      <c r="E142" s="117"/>
      <c r="P142" s="39"/>
      <c r="Q142" s="39"/>
      <c r="R142" s="39"/>
    </row>
    <row r="143" spans="5:18">
      <c r="E143" s="117"/>
      <c r="P143" s="39"/>
      <c r="Q143" s="39"/>
      <c r="R143" s="39"/>
    </row>
    <row r="144" spans="5:18">
      <c r="E144" s="117"/>
      <c r="P144" s="39"/>
      <c r="Q144" s="39"/>
      <c r="R144" s="39"/>
    </row>
    <row r="145" spans="5:18">
      <c r="E145" s="117"/>
      <c r="P145" s="39"/>
      <c r="Q145" s="39"/>
      <c r="R145" s="39"/>
    </row>
    <row r="146" spans="5:18">
      <c r="E146" s="117"/>
      <c r="P146" s="39"/>
      <c r="Q146" s="39"/>
      <c r="R146" s="39"/>
    </row>
    <row r="147" spans="5:18">
      <c r="E147" s="117"/>
      <c r="P147" s="39"/>
      <c r="Q147" s="39"/>
      <c r="R147" s="39"/>
    </row>
    <row r="148" spans="5:18">
      <c r="E148" s="117"/>
      <c r="P148" s="39"/>
      <c r="Q148" s="39"/>
      <c r="R148" s="39"/>
    </row>
    <row r="149" spans="5:18">
      <c r="E149" s="262"/>
      <c r="P149" s="39"/>
      <c r="Q149" s="39"/>
      <c r="R149" s="39"/>
    </row>
    <row r="150" spans="5:18">
      <c r="E150" s="262"/>
      <c r="P150" s="39"/>
      <c r="Q150" s="39"/>
      <c r="R150" s="39"/>
    </row>
    <row r="151" spans="5:18">
      <c r="E151" s="262"/>
      <c r="P151" s="39"/>
      <c r="Q151" s="39"/>
      <c r="R151" s="39"/>
    </row>
    <row r="152" spans="5:18">
      <c r="E152" s="262"/>
      <c r="P152" s="39"/>
      <c r="Q152" s="39"/>
      <c r="R152" s="39"/>
    </row>
    <row r="153" spans="5:18">
      <c r="E153" s="262"/>
      <c r="P153" s="39"/>
      <c r="Q153" s="39"/>
      <c r="R153" s="39"/>
    </row>
    <row r="154" spans="5:18">
      <c r="E154" s="262"/>
      <c r="P154" s="39"/>
      <c r="Q154" s="39"/>
      <c r="R154" s="39"/>
    </row>
    <row r="155" spans="5:18">
      <c r="E155" s="262"/>
      <c r="P155" s="39"/>
      <c r="Q155" s="39"/>
      <c r="R155" s="39"/>
    </row>
    <row r="156" spans="5:18">
      <c r="E156" s="262"/>
      <c r="P156" s="39"/>
      <c r="Q156" s="39"/>
      <c r="R156" s="39"/>
    </row>
    <row r="157" spans="5:18">
      <c r="E157" s="262"/>
      <c r="P157" s="39"/>
      <c r="Q157" s="39"/>
      <c r="R157" s="39"/>
    </row>
    <row r="158" spans="5:18">
      <c r="E158" s="262"/>
      <c r="P158" s="39"/>
      <c r="Q158" s="39"/>
      <c r="R158" s="39"/>
    </row>
    <row r="159" spans="5:18">
      <c r="E159" s="262"/>
      <c r="P159" s="39"/>
      <c r="Q159" s="39"/>
      <c r="R159" s="39"/>
    </row>
    <row r="160" spans="5:18">
      <c r="E160" s="262"/>
      <c r="P160" s="39"/>
      <c r="Q160" s="39"/>
      <c r="R160" s="39"/>
    </row>
    <row r="161" spans="5:18">
      <c r="E161" s="262"/>
      <c r="P161" s="39"/>
      <c r="Q161" s="39"/>
      <c r="R161" s="39"/>
    </row>
    <row r="162" spans="5:18">
      <c r="E162" s="262"/>
      <c r="P162" s="39"/>
      <c r="Q162" s="39"/>
      <c r="R162" s="39"/>
    </row>
    <row r="163" spans="5:18">
      <c r="E163" s="262"/>
      <c r="P163" s="39"/>
      <c r="Q163" s="39"/>
      <c r="R163" s="39"/>
    </row>
    <row r="164" spans="5:18">
      <c r="E164" s="262"/>
      <c r="P164" s="39"/>
      <c r="Q164" s="39"/>
      <c r="R164" s="39"/>
    </row>
    <row r="165" spans="5:18">
      <c r="E165" s="262"/>
      <c r="P165" s="39"/>
      <c r="Q165" s="39"/>
      <c r="R165" s="39"/>
    </row>
    <row r="166" spans="5:18">
      <c r="E166" s="262"/>
      <c r="P166" s="39"/>
      <c r="Q166" s="39"/>
      <c r="R166" s="39"/>
    </row>
    <row r="167" spans="5:18">
      <c r="E167" s="262"/>
      <c r="P167" s="39"/>
      <c r="Q167" s="39"/>
      <c r="R167" s="39"/>
    </row>
    <row r="168" spans="5:18">
      <c r="E168" s="262"/>
      <c r="P168" s="39"/>
      <c r="Q168" s="39"/>
      <c r="R168" s="39"/>
    </row>
    <row r="169" spans="5:18">
      <c r="E169" s="262"/>
      <c r="P169" s="39"/>
      <c r="Q169" s="39"/>
      <c r="R169" s="39"/>
    </row>
    <row r="170" spans="5:18">
      <c r="E170" s="262"/>
      <c r="P170" s="39"/>
      <c r="Q170" s="39"/>
      <c r="R170" s="39"/>
    </row>
    <row r="171" spans="5:18">
      <c r="E171" s="262"/>
      <c r="P171" s="39"/>
      <c r="Q171" s="39"/>
      <c r="R171" s="39"/>
    </row>
    <row r="172" spans="5:18">
      <c r="E172" s="262"/>
      <c r="P172" s="39"/>
      <c r="Q172" s="39"/>
      <c r="R172" s="39"/>
    </row>
    <row r="173" spans="5:18">
      <c r="E173" s="262"/>
      <c r="P173" s="39"/>
      <c r="Q173" s="39"/>
      <c r="R173" s="39"/>
    </row>
    <row r="174" spans="5:18">
      <c r="E174" s="262"/>
      <c r="P174" s="39"/>
      <c r="Q174" s="39"/>
      <c r="R174" s="39"/>
    </row>
    <row r="175" spans="5:18">
      <c r="E175" s="262"/>
      <c r="P175" s="39"/>
      <c r="Q175" s="39"/>
      <c r="R175" s="39"/>
    </row>
    <row r="176" spans="5:18">
      <c r="E176" s="262"/>
      <c r="P176" s="39"/>
      <c r="Q176" s="39"/>
      <c r="R176" s="39"/>
    </row>
    <row r="177" spans="5:18">
      <c r="E177" s="262"/>
      <c r="P177" s="39"/>
      <c r="Q177" s="39"/>
      <c r="R177" s="39"/>
    </row>
    <row r="178" spans="5:18">
      <c r="E178" s="262"/>
      <c r="P178" s="39"/>
      <c r="Q178" s="39"/>
      <c r="R178" s="39"/>
    </row>
    <row r="179" spans="5:18">
      <c r="E179" s="262"/>
      <c r="P179" s="39"/>
      <c r="Q179" s="39"/>
      <c r="R179" s="39"/>
    </row>
    <row r="180" spans="5:18">
      <c r="E180" s="262"/>
      <c r="P180" s="39"/>
      <c r="Q180" s="39"/>
      <c r="R180" s="39"/>
    </row>
    <row r="181" spans="5:18">
      <c r="E181" s="262"/>
      <c r="P181" s="39"/>
      <c r="Q181" s="39"/>
      <c r="R181" s="39"/>
    </row>
    <row r="182" spans="5:18">
      <c r="E182" s="262"/>
      <c r="P182" s="39"/>
      <c r="Q182" s="39"/>
      <c r="R182" s="39"/>
    </row>
    <row r="183" spans="5:18">
      <c r="E183" s="262"/>
      <c r="P183" s="39"/>
      <c r="Q183" s="39"/>
      <c r="R183" s="39"/>
    </row>
    <row r="184" spans="5:18">
      <c r="E184" s="262"/>
      <c r="P184" s="39"/>
      <c r="Q184" s="39"/>
      <c r="R184" s="39"/>
    </row>
    <row r="185" spans="5:18">
      <c r="E185" s="262"/>
      <c r="P185" s="39"/>
      <c r="Q185" s="39"/>
      <c r="R185" s="39"/>
    </row>
    <row r="186" spans="5:18">
      <c r="E186" s="262"/>
      <c r="P186" s="39"/>
      <c r="Q186" s="39"/>
      <c r="R186" s="39"/>
    </row>
    <row r="187" spans="5:18">
      <c r="E187" s="262"/>
      <c r="P187" s="39"/>
      <c r="Q187" s="39"/>
      <c r="R187" s="39"/>
    </row>
    <row r="188" spans="5:18">
      <c r="E188" s="262"/>
      <c r="P188" s="39"/>
      <c r="Q188" s="39"/>
      <c r="R188" s="39"/>
    </row>
    <row r="189" spans="5:18">
      <c r="E189" s="262"/>
      <c r="P189" s="39"/>
      <c r="Q189" s="39"/>
      <c r="R189" s="39"/>
    </row>
    <row r="190" spans="5:18">
      <c r="E190" s="262"/>
      <c r="P190" s="39"/>
      <c r="Q190" s="39"/>
      <c r="R190" s="39"/>
    </row>
    <row r="191" spans="5:18">
      <c r="E191" s="262"/>
    </row>
    <row r="192" spans="5:18">
      <c r="E192" s="262"/>
    </row>
    <row r="193" spans="5:5">
      <c r="E193" s="262"/>
    </row>
    <row r="194" spans="5:5">
      <c r="E194" s="262"/>
    </row>
    <row r="195" spans="5:5">
      <c r="E195" s="262"/>
    </row>
    <row r="196" spans="5:5">
      <c r="E196" s="262"/>
    </row>
    <row r="197" spans="5:5">
      <c r="E197" s="262"/>
    </row>
    <row r="198" spans="5:5">
      <c r="E198" s="262"/>
    </row>
    <row r="199" spans="5:5">
      <c r="E199" s="262"/>
    </row>
    <row r="200" spans="5:5">
      <c r="E200" s="262"/>
    </row>
    <row r="201" spans="5:5">
      <c r="E201" s="262"/>
    </row>
    <row r="202" spans="5:5">
      <c r="E202" s="262"/>
    </row>
    <row r="203" spans="5:5">
      <c r="E203" s="262"/>
    </row>
    <row r="204" spans="5:5">
      <c r="E204" s="262"/>
    </row>
    <row r="205" spans="5:5">
      <c r="E205" s="262"/>
    </row>
    <row r="206" spans="5:5">
      <c r="E206" s="262"/>
    </row>
    <row r="207" spans="5:5">
      <c r="E207" s="262"/>
    </row>
    <row r="208" spans="5:5">
      <c r="E208" s="262"/>
    </row>
    <row r="209" spans="5:5">
      <c r="E209" s="262"/>
    </row>
    <row r="210" spans="5:5">
      <c r="E210" s="262"/>
    </row>
    <row r="211" spans="5:5">
      <c r="E211" s="262"/>
    </row>
    <row r="212" spans="5:5">
      <c r="E212" s="262"/>
    </row>
    <row r="213" spans="5:5">
      <c r="E213" s="262"/>
    </row>
    <row r="214" spans="5:5">
      <c r="E214" s="262"/>
    </row>
    <row r="215" spans="5:5">
      <c r="E215" s="262"/>
    </row>
    <row r="216" spans="5:5">
      <c r="E216" s="262"/>
    </row>
    <row r="217" spans="5:5">
      <c r="E217" s="262"/>
    </row>
    <row r="218" spans="5:5">
      <c r="E218" s="262"/>
    </row>
    <row r="219" spans="5:5">
      <c r="E219" s="262"/>
    </row>
    <row r="220" spans="5:5">
      <c r="E220" s="262"/>
    </row>
    <row r="221" spans="5:5">
      <c r="E221" s="262"/>
    </row>
    <row r="222" spans="5:5">
      <c r="E222" s="262"/>
    </row>
    <row r="223" spans="5:5">
      <c r="E223" s="262"/>
    </row>
    <row r="224" spans="5:5">
      <c r="E224" s="262"/>
    </row>
    <row r="225" spans="5:5">
      <c r="E225" s="262"/>
    </row>
    <row r="226" spans="5:5">
      <c r="E226" s="262"/>
    </row>
    <row r="227" spans="5:5">
      <c r="E227" s="262"/>
    </row>
    <row r="228" spans="5:5">
      <c r="E228" s="262"/>
    </row>
    <row r="229" spans="5:5">
      <c r="E229" s="262"/>
    </row>
    <row r="230" spans="5:5">
      <c r="E230" s="262"/>
    </row>
    <row r="231" spans="5:5">
      <c r="E231" s="262"/>
    </row>
    <row r="232" spans="5:5">
      <c r="E232" s="262"/>
    </row>
    <row r="233" spans="5:5">
      <c r="E233" s="262"/>
    </row>
    <row r="234" spans="5:5">
      <c r="E234" s="262"/>
    </row>
    <row r="235" spans="5:5">
      <c r="E235" s="262"/>
    </row>
    <row r="236" spans="5:5">
      <c r="E236" s="262"/>
    </row>
    <row r="237" spans="5:5">
      <c r="E237" s="262"/>
    </row>
    <row r="238" spans="5:5">
      <c r="E238" s="262"/>
    </row>
    <row r="239" spans="5:5">
      <c r="E239" s="262"/>
    </row>
    <row r="240" spans="5:5">
      <c r="E240" s="262"/>
    </row>
    <row r="241" spans="5:5">
      <c r="E241" s="262"/>
    </row>
    <row r="242" spans="5:5">
      <c r="E242" s="262"/>
    </row>
    <row r="243" spans="5:5">
      <c r="E243" s="262"/>
    </row>
    <row r="244" spans="5:5">
      <c r="E244" s="262"/>
    </row>
    <row r="245" spans="5:5">
      <c r="E245" s="262"/>
    </row>
    <row r="246" spans="5:5">
      <c r="E246" s="262"/>
    </row>
    <row r="247" spans="5:5">
      <c r="E247" s="262"/>
    </row>
    <row r="248" spans="5:5">
      <c r="E248" s="262"/>
    </row>
    <row r="249" spans="5:5">
      <c r="E249" s="262"/>
    </row>
    <row r="250" spans="5:5">
      <c r="E250" s="262"/>
    </row>
    <row r="251" spans="5:5">
      <c r="E251" s="262"/>
    </row>
    <row r="252" spans="5:5">
      <c r="E252" s="262"/>
    </row>
    <row r="253" spans="5:5">
      <c r="E253" s="262"/>
    </row>
    <row r="254" spans="5:5">
      <c r="E254" s="262"/>
    </row>
    <row r="255" spans="5:5">
      <c r="E255" s="262"/>
    </row>
    <row r="256" spans="5:5">
      <c r="E256" s="262"/>
    </row>
    <row r="257" spans="5:5">
      <c r="E257" s="262"/>
    </row>
    <row r="258" spans="5:5">
      <c r="E258" s="262"/>
    </row>
    <row r="259" spans="5:5">
      <c r="E259" s="262"/>
    </row>
    <row r="260" spans="5:5">
      <c r="E260" s="262"/>
    </row>
    <row r="261" spans="5:5">
      <c r="E261" s="262"/>
    </row>
    <row r="262" spans="5:5">
      <c r="E262" s="262"/>
    </row>
    <row r="263" spans="5:5">
      <c r="E263" s="262"/>
    </row>
    <row r="264" spans="5:5">
      <c r="E264" s="262"/>
    </row>
    <row r="265" spans="5:5">
      <c r="E265" s="262"/>
    </row>
    <row r="266" spans="5:5">
      <c r="E266" s="262"/>
    </row>
    <row r="267" spans="5:5">
      <c r="E267" s="262"/>
    </row>
    <row r="268" spans="5:5">
      <c r="E268" s="262"/>
    </row>
    <row r="269" spans="5:5">
      <c r="E269" s="262"/>
    </row>
    <row r="270" spans="5:5">
      <c r="E270" s="262"/>
    </row>
    <row r="271" spans="5:5">
      <c r="E271" s="262"/>
    </row>
    <row r="272" spans="5:5">
      <c r="E272" s="262"/>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0:D84 D88:D95 D32:D33 D71:D76 D50:D59 D63:D67 D36:D46 D20:D21 D24:D25 D28:D29 D8 D10:D17" xr:uid="{7613AF97-1D36-4D0E-B5F9-8E2B5F4E4C55}">
      <formula1>Flow_units</formula1>
    </dataValidation>
    <dataValidation type="custom" allowBlank="1" showInputMessage="1" showErrorMessage="1" error="Please do not change this formula" prompt="Please do not change this formula" sqref="N6:O1048576 N1:O4 S1:S4 L1:L4 S102:S1048576 P5:Q5 L6:L1048576 S94:S100 R5:S5 B5:O5 S35:S93 S6:S18 S20" xr:uid="{21EDA894-B0FD-46CC-8835-A7E37748045E}">
      <formula1>"Please do not change this formula"</formula1>
    </dataValidation>
  </dataValidations>
  <hyperlinks>
    <hyperlink ref="I2:J2" location="'NG Transport'!A1" display="Go to the next step of this pathway" xr:uid="{FC6D9BDF-039A-467C-8246-6B83C749A142}"/>
    <hyperlink ref="I2:K2" location="GHG_ELECTROLYSIS!A1" display="Go to the next step of this pathway" xr:uid="{F2996663-D32E-4070-9B7D-D9400F754801}"/>
  </hyperlinks>
  <pageMargins left="0" right="0" top="0" bottom="0" header="0" footer="0"/>
  <pageSetup paperSize="9" orientation="portrait" r:id="rId8"/>
  <drawing r:id="rId9"/>
  <extLst>
    <ext xmlns:x14="http://schemas.microsoft.com/office/spreadsheetml/2009/9/main" uri="{78C0D931-6437-407d-A8EE-F0AAD7539E65}">
      <x14:conditionalFormattings>
        <x14:conditionalFormatting xmlns:xm="http://schemas.microsoft.com/office/excel/2006/main">
          <x14:cfRule type="expression" priority="13" id="{0F8AA911-8706-467E-AC03-7E93FE6FADBF}">
            <xm:f>AND(Initial_questions!$E$21&lt;&gt;"Electrolysis using grid electricity", Initial_questions!$E$21&lt;&gt;"Electrolysis using renewable electricity", Initial_questions!$E$21&lt;&gt;"Electrolysis using nuclear electricity", Initial_questions!$E$21&lt;&gt;"Electrolysis using other electricity input", Initial_questions!$E$21&lt;&gt;"Electrolysis using mixed electricity inputs",Master_Switch="On")</xm:f>
            <x14:dxf>
              <font>
                <color theme="0"/>
              </font>
              <fill>
                <patternFill>
                  <bgColor theme="0"/>
                </patternFill>
              </fill>
              <border>
                <left/>
                <right/>
                <top/>
                <bottom/>
                <vertical/>
                <horizontal/>
              </border>
            </x14:dxf>
          </x14:cfRule>
          <xm:sqref>A2:XFD152</xm:sqref>
        </x14:conditionalFormatting>
        <x14:conditionalFormatting xmlns:xm="http://schemas.microsoft.com/office/excel/2006/main">
          <x14:cfRule type="expression" priority="12" id="{9B49A6AB-C21D-4E75-8536-998F56F290BD}">
            <xm:f>AND(GHG_ELECTROLYSIS!$D$6="Default",Master_Switch="On")</xm:f>
            <x14:dxf>
              <font>
                <color theme="0"/>
              </font>
              <fill>
                <patternFill>
                  <bgColor theme="0"/>
                </patternFill>
              </fill>
              <border>
                <left/>
                <right/>
                <top/>
                <bottom/>
                <vertical/>
                <horizontal/>
              </border>
            </x14:dxf>
          </x14:cfRule>
          <xm:sqref>A21:XFD21</xm:sqref>
        </x14:conditionalFormatting>
        <x14:conditionalFormatting xmlns:xm="http://schemas.microsoft.com/office/excel/2006/main">
          <x14:cfRule type="expression" priority="11" id="{2DCA2039-993F-4248-8994-33C9D4CAC45A}">
            <xm:f>AND(GHG_ELECTROLYSIS!$D$23="Default",Master_Switch="On")</xm:f>
            <x14:dxf>
              <font>
                <color theme="0"/>
              </font>
              <fill>
                <patternFill>
                  <bgColor theme="0"/>
                </patternFill>
              </fill>
              <border>
                <left/>
                <right/>
                <top/>
                <bottom/>
                <vertical/>
                <horizontal/>
              </border>
            </x14:dxf>
          </x14:cfRule>
          <xm:sqref>A25:XFD25</xm:sqref>
        </x14:conditionalFormatting>
        <x14:conditionalFormatting xmlns:xm="http://schemas.microsoft.com/office/excel/2006/main">
          <x14:cfRule type="expression" priority="10" id="{E2A40422-FBC5-4FDA-AFE7-FB86F43663DB}">
            <xm:f>AND(GHG_ELECTROLYSIS!$D$40="Default",Master_Switch="On")</xm:f>
            <x14:dxf>
              <font>
                <color theme="0"/>
              </font>
              <fill>
                <patternFill>
                  <bgColor theme="0"/>
                </patternFill>
              </fill>
              <border>
                <left/>
                <right/>
                <top/>
                <bottom/>
                <vertical/>
                <horizontal/>
              </border>
            </x14:dxf>
          </x14:cfRule>
          <xm:sqref>A29:XFD29</xm:sqref>
        </x14:conditionalFormatting>
        <x14:conditionalFormatting xmlns:xm="http://schemas.microsoft.com/office/excel/2006/main">
          <x14:cfRule type="expression" priority="9" id="{9EC676D4-F62C-41AF-B463-2E329CAFB792}">
            <xm:f>AND(GHG_ELECTROLYSIS!$D$58="Default",Master_Switch="On")</xm:f>
            <x14:dxf>
              <font>
                <color theme="0"/>
              </font>
              <fill>
                <patternFill>
                  <bgColor theme="0"/>
                </patternFill>
              </fill>
              <border>
                <left/>
                <right/>
                <top/>
                <bottom/>
                <vertical/>
                <horizontal/>
              </border>
            </x14:dxf>
          </x14:cfRule>
          <xm:sqref>A33:XFD33</xm:sqref>
        </x14:conditionalFormatting>
        <x14:conditionalFormatting xmlns:xm="http://schemas.microsoft.com/office/excel/2006/main">
          <x14:cfRule type="expression" priority="7" id="{8CAE66F9-DEDC-4DD0-BCCE-93CDBA99B611}">
            <xm:f>AND(OR(GHG_ELECTROLYSIS!$D$6="Default",GHG_ELECTROLYSIS!$D$23="Default", GHG_ELECTROLYSIS!$D$40="Default",GHG_ELECTROLYSIS!$D$58="Default"),Master_Switch="On")</xm:f>
            <x14:dxf>
              <font>
                <color theme="0"/>
              </font>
              <fill>
                <patternFill>
                  <bgColor theme="0"/>
                </patternFill>
              </fill>
              <border>
                <left/>
                <right/>
                <top/>
                <bottom/>
                <vertical/>
                <horizontal/>
              </border>
            </x14:dxf>
          </x14:cfRule>
          <xm:sqref>A37:XFD46</xm:sqref>
        </x14:conditionalFormatting>
        <x14:conditionalFormatting xmlns:xm="http://schemas.microsoft.com/office/excel/2006/main">
          <x14:cfRule type="expression" priority="6" id="{2639AB12-041F-41B3-B285-017DB1F2FE3C}">
            <xm:f>AND(OR(GHG_ELECTROLYSIS!$D$7="Default",GHG_ELECTROLYSIS!$D$24="Default",GHG_ELECTROLYSIS!$D$41="Default",GHG_ELECTROLYSIS!$D$59="Default"),Master_Switch="On")</xm:f>
            <x14:dxf>
              <font>
                <color theme="0"/>
              </font>
              <fill>
                <patternFill>
                  <bgColor theme="0"/>
                </patternFill>
              </fill>
              <border>
                <left/>
                <right/>
                <top/>
                <bottom/>
                <vertical/>
                <horizontal/>
              </border>
            </x14:dxf>
          </x14:cfRule>
          <xm:sqref>A50:XFD59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7BD2AD3-B6A0-467D-9DB8-C25A7C6A73B2}">
          <x14:formula1>
            <xm:f>Units!$X$120</xm:f>
          </x14:formula1>
          <xm:sqref>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B33BC-916D-4389-A6F5-F8D4C26EEB0D}">
  <sheetPr codeName="Sheet8">
    <tabColor theme="8" tint="0.59999389629810485"/>
  </sheetPr>
  <dimension ref="B1:C96"/>
  <sheetViews>
    <sheetView showGridLines="0" zoomScaleNormal="100" workbookViewId="0"/>
  </sheetViews>
  <sheetFormatPr defaultColWidth="7.109375" defaultRowHeight="14.4"/>
  <cols>
    <col min="2" max="2" width="62.109375" customWidth="1"/>
    <col min="3" max="3" width="166.5546875" customWidth="1"/>
    <col min="7" max="7" width="17.5546875" customWidth="1"/>
    <col min="8" max="8" width="18.44140625" customWidth="1"/>
    <col min="9" max="9" width="22.88671875" customWidth="1"/>
  </cols>
  <sheetData>
    <row r="1" spans="2:3">
      <c r="B1" s="28"/>
    </row>
    <row r="2" spans="2:3">
      <c r="B2" s="28" t="s">
        <v>714</v>
      </c>
    </row>
    <row r="3" spans="2:3">
      <c r="B3" s="368" t="s">
        <v>8</v>
      </c>
      <c r="C3" s="31" t="s">
        <v>9</v>
      </c>
    </row>
    <row r="4" spans="2:3">
      <c r="B4" s="304" t="s">
        <v>10</v>
      </c>
      <c r="C4" s="31" t="s">
        <v>11</v>
      </c>
    </row>
    <row r="5" spans="2:3">
      <c r="B5" s="304" t="s">
        <v>12</v>
      </c>
      <c r="C5" s="341" t="s">
        <v>13</v>
      </c>
    </row>
    <row r="6" spans="2:3">
      <c r="B6" s="304" t="s">
        <v>14</v>
      </c>
      <c r="C6" s="341" t="s">
        <v>15</v>
      </c>
    </row>
    <row r="7" spans="2:3">
      <c r="B7" s="304" t="s">
        <v>16</v>
      </c>
      <c r="C7" s="341" t="s">
        <v>17</v>
      </c>
    </row>
    <row r="8" spans="2:3">
      <c r="B8" s="304" t="s">
        <v>18</v>
      </c>
      <c r="C8" s="341" t="s">
        <v>19</v>
      </c>
    </row>
    <row r="9" spans="2:3">
      <c r="B9" s="301" t="s">
        <v>20</v>
      </c>
      <c r="C9" s="341" t="s">
        <v>906</v>
      </c>
    </row>
    <row r="10" spans="2:3">
      <c r="B10" s="365" t="s">
        <v>21</v>
      </c>
      <c r="C10" s="369" t="s">
        <v>781</v>
      </c>
    </row>
    <row r="11" spans="2:3">
      <c r="B11" s="365" t="s">
        <v>22</v>
      </c>
      <c r="C11" s="369" t="s">
        <v>705</v>
      </c>
    </row>
    <row r="12" spans="2:3">
      <c r="B12" s="470" t="s">
        <v>23</v>
      </c>
      <c r="C12" s="369" t="s">
        <v>24</v>
      </c>
    </row>
    <row r="13" spans="2:3">
      <c r="B13" s="273" t="s">
        <v>25</v>
      </c>
      <c r="C13" s="369" t="s">
        <v>26</v>
      </c>
    </row>
    <row r="14" spans="2:3">
      <c r="B14" s="273" t="s">
        <v>27</v>
      </c>
      <c r="C14" s="369" t="s">
        <v>28</v>
      </c>
    </row>
    <row r="15" spans="2:3">
      <c r="B15" s="186" t="s">
        <v>29</v>
      </c>
      <c r="C15" s="581" t="s">
        <v>718</v>
      </c>
    </row>
    <row r="16" spans="2:3">
      <c r="B16" s="186" t="s">
        <v>30</v>
      </c>
      <c r="C16" s="581"/>
    </row>
    <row r="17" spans="2:3">
      <c r="B17" s="186" t="s">
        <v>31</v>
      </c>
      <c r="C17" s="581"/>
    </row>
    <row r="18" spans="2:3">
      <c r="B18" s="186" t="s">
        <v>32</v>
      </c>
      <c r="C18" s="581"/>
    </row>
    <row r="19" spans="2:3">
      <c r="B19" s="187" t="s">
        <v>33</v>
      </c>
      <c r="C19" s="581"/>
    </row>
    <row r="20" spans="2:3">
      <c r="B20" s="186" t="s">
        <v>34</v>
      </c>
      <c r="C20" s="581"/>
    </row>
    <row r="22" spans="2:3">
      <c r="B22" s="454" t="s">
        <v>934</v>
      </c>
      <c r="C22" s="581" t="s">
        <v>783</v>
      </c>
    </row>
    <row r="23" spans="2:3">
      <c r="B23" s="429" t="s">
        <v>35</v>
      </c>
      <c r="C23" s="581"/>
    </row>
    <row r="24" spans="2:3">
      <c r="B24" s="302"/>
      <c r="C24" s="581"/>
    </row>
    <row r="25" spans="2:3">
      <c r="B25" s="455" t="s">
        <v>36</v>
      </c>
      <c r="C25" s="581"/>
    </row>
    <row r="26" spans="2:3">
      <c r="B26" s="430" t="s">
        <v>37</v>
      </c>
      <c r="C26" s="581"/>
    </row>
    <row r="27" spans="2:3">
      <c r="B27" s="430" t="s">
        <v>38</v>
      </c>
      <c r="C27" s="581"/>
    </row>
    <row r="28" spans="2:3">
      <c r="B28" s="430" t="s">
        <v>39</v>
      </c>
      <c r="C28" s="581"/>
    </row>
    <row r="29" spans="2:3">
      <c r="B29" s="430" t="s">
        <v>40</v>
      </c>
      <c r="C29" s="581"/>
    </row>
    <row r="30" spans="2:3">
      <c r="B30" s="430" t="s">
        <v>41</v>
      </c>
      <c r="C30" s="581"/>
    </row>
    <row r="31" spans="2:3">
      <c r="B31" s="302"/>
      <c r="C31" s="581"/>
    </row>
    <row r="32" spans="2:3">
      <c r="B32" s="455" t="s">
        <v>42</v>
      </c>
      <c r="C32" s="581"/>
    </row>
    <row r="33" spans="2:3">
      <c r="B33" s="431" t="s">
        <v>43</v>
      </c>
      <c r="C33" s="581"/>
    </row>
    <row r="34" spans="2:3">
      <c r="B34" s="431" t="s">
        <v>44</v>
      </c>
      <c r="C34" s="581"/>
    </row>
    <row r="35" spans="2:3">
      <c r="B35" s="432" t="s">
        <v>45</v>
      </c>
      <c r="C35" s="581"/>
    </row>
    <row r="36" spans="2:3">
      <c r="B36" s="432" t="s">
        <v>46</v>
      </c>
      <c r="C36" s="581"/>
    </row>
    <row r="37" spans="2:3">
      <c r="B37" s="432" t="s">
        <v>47</v>
      </c>
      <c r="C37" s="581"/>
    </row>
    <row r="38" spans="2:3">
      <c r="B38" s="431" t="s">
        <v>48</v>
      </c>
      <c r="C38" s="581"/>
    </row>
    <row r="39" spans="2:3">
      <c r="B39" s="431" t="s">
        <v>49</v>
      </c>
      <c r="C39" s="581"/>
    </row>
    <row r="40" spans="2:3">
      <c r="B40" s="303"/>
      <c r="C40" s="581"/>
    </row>
    <row r="41" spans="2:3">
      <c r="B41" s="455" t="s">
        <v>50</v>
      </c>
      <c r="C41" s="581"/>
    </row>
    <row r="42" spans="2:3">
      <c r="B42" s="433" t="s">
        <v>51</v>
      </c>
      <c r="C42" s="581"/>
    </row>
    <row r="43" spans="2:3">
      <c r="B43" s="433" t="s">
        <v>52</v>
      </c>
      <c r="C43" s="581"/>
    </row>
    <row r="44" spans="2:3">
      <c r="B44" s="433" t="s">
        <v>53</v>
      </c>
      <c r="C44" s="581"/>
    </row>
    <row r="45" spans="2:3">
      <c r="B45" s="434" t="s">
        <v>54</v>
      </c>
      <c r="C45" s="581"/>
    </row>
    <row r="46" spans="2:3">
      <c r="B46" s="433" t="s">
        <v>55</v>
      </c>
      <c r="C46" s="581"/>
    </row>
    <row r="47" spans="2:3">
      <c r="B47" s="433" t="s">
        <v>56</v>
      </c>
      <c r="C47" s="581"/>
    </row>
    <row r="48" spans="2:3">
      <c r="B48" s="434" t="s">
        <v>57</v>
      </c>
      <c r="C48" s="581"/>
    </row>
    <row r="49" spans="2:3">
      <c r="B49" s="55"/>
      <c r="C49" s="581"/>
    </row>
    <row r="50" spans="2:3">
      <c r="B50" s="455" t="s">
        <v>58</v>
      </c>
      <c r="C50" s="581"/>
    </row>
    <row r="51" spans="2:3">
      <c r="B51" s="435" t="s">
        <v>59</v>
      </c>
      <c r="C51" s="581"/>
    </row>
    <row r="52" spans="2:3">
      <c r="B52" s="435" t="s">
        <v>60</v>
      </c>
      <c r="C52" s="581"/>
    </row>
    <row r="53" spans="2:3">
      <c r="B53" s="436" t="s">
        <v>61</v>
      </c>
      <c r="C53" s="581"/>
    </row>
    <row r="54" spans="2:3">
      <c r="B54" s="436" t="s">
        <v>62</v>
      </c>
      <c r="C54" s="581"/>
    </row>
    <row r="55" spans="2:3">
      <c r="B55" s="435" t="s">
        <v>63</v>
      </c>
      <c r="C55" s="581"/>
    </row>
    <row r="56" spans="2:3">
      <c r="B56" s="302"/>
      <c r="C56" s="581"/>
    </row>
    <row r="57" spans="2:3">
      <c r="B57" s="455" t="s">
        <v>64</v>
      </c>
      <c r="C57" s="581"/>
    </row>
    <row r="58" spans="2:3">
      <c r="B58" s="437" t="s">
        <v>65</v>
      </c>
      <c r="C58" s="581"/>
    </row>
    <row r="59" spans="2:3">
      <c r="B59" s="437" t="s">
        <v>66</v>
      </c>
      <c r="C59" s="581"/>
    </row>
    <row r="60" spans="2:3" ht="14.85" customHeight="1">
      <c r="B60" s="437" t="s">
        <v>67</v>
      </c>
      <c r="C60" s="581"/>
    </row>
    <row r="61" spans="2:3" ht="14.85" customHeight="1">
      <c r="B61" s="437" t="s">
        <v>68</v>
      </c>
      <c r="C61" s="581"/>
    </row>
    <row r="62" spans="2:3" ht="14.85" customHeight="1">
      <c r="B62" s="437" t="s">
        <v>69</v>
      </c>
      <c r="C62" s="581"/>
    </row>
    <row r="63" spans="2:3" ht="14.85" customHeight="1">
      <c r="B63" s="437" t="s">
        <v>70</v>
      </c>
      <c r="C63" s="581"/>
    </row>
    <row r="64" spans="2:3" ht="14.85" customHeight="1">
      <c r="B64" s="437" t="s">
        <v>71</v>
      </c>
      <c r="C64" s="581"/>
    </row>
    <row r="65" spans="2:3">
      <c r="B65" s="55"/>
    </row>
    <row r="66" spans="2:3">
      <c r="B66" s="54" t="s">
        <v>72</v>
      </c>
    </row>
    <row r="67" spans="2:3">
      <c r="B67" t="s">
        <v>956</v>
      </c>
    </row>
    <row r="69" spans="2:3" ht="18">
      <c r="B69" s="132"/>
      <c r="C69" s="4"/>
    </row>
    <row r="70" spans="2:3">
      <c r="B70" s="133"/>
      <c r="C70" s="4"/>
    </row>
    <row r="71" spans="2:3">
      <c r="B71" s="134"/>
      <c r="C71" s="134"/>
    </row>
    <row r="75" spans="2:3">
      <c r="C75" s="128"/>
    </row>
    <row r="76" spans="2:3">
      <c r="B76" s="28"/>
      <c r="C76" s="28"/>
    </row>
    <row r="77" spans="2:3">
      <c r="C77" s="128"/>
    </row>
    <row r="79" spans="2:3">
      <c r="C79" s="128"/>
    </row>
    <row r="80" spans="2:3">
      <c r="C80" s="128"/>
    </row>
    <row r="81" spans="3:3">
      <c r="C81" s="128"/>
    </row>
    <row r="82" spans="3:3">
      <c r="C82" s="128"/>
    </row>
    <row r="83" spans="3:3">
      <c r="C83" s="128"/>
    </row>
    <row r="84" spans="3:3">
      <c r="C84" s="128"/>
    </row>
    <row r="85" spans="3:3">
      <c r="C85" s="128"/>
    </row>
    <row r="86" spans="3:3">
      <c r="C86" s="128"/>
    </row>
    <row r="87" spans="3:3">
      <c r="C87" s="128"/>
    </row>
    <row r="88" spans="3:3">
      <c r="C88" s="128"/>
    </row>
    <row r="89" spans="3:3">
      <c r="C89" s="128"/>
    </row>
    <row r="90" spans="3:3">
      <c r="C90" s="128"/>
    </row>
    <row r="91" spans="3:3">
      <c r="C91" s="128"/>
    </row>
    <row r="92" spans="3:3">
      <c r="C92" s="128"/>
    </row>
    <row r="93" spans="3:3">
      <c r="C93" s="128"/>
    </row>
    <row r="94" spans="3:3">
      <c r="C94" s="128"/>
    </row>
    <row r="95" spans="3:3">
      <c r="C95" s="128"/>
    </row>
    <row r="96" spans="3:3">
      <c r="C96" s="128"/>
    </row>
  </sheetData>
  <customSheetViews>
    <customSheetView guid="{43B6AE9C-E429-4506-98F3-C388B54AB8B6}" showGridLines="0">
      <selection activeCell="D1" sqref="D1"/>
      <pageMargins left="0" right="0" top="0" bottom="0" header="0" footer="0"/>
      <pageSetup paperSize="9" orientation="portrait" r:id="rId1"/>
    </customSheetView>
    <customSheetView guid="{D41C0D8C-591E-4B34-99B3-B45BA51A58EC}" showGridLines="0">
      <selection activeCell="D1" sqref="D1"/>
      <pageMargins left="0" right="0" top="0" bottom="0" header="0" footer="0"/>
      <pageSetup paperSize="9" orientation="portrait" r:id="rId2"/>
    </customSheetView>
    <customSheetView guid="{8F590910-6C03-4233-9C41-6540BF2DE453}" showGridLines="0">
      <selection activeCell="D1" sqref="D1"/>
      <pageMargins left="0" right="0" top="0" bottom="0" header="0" footer="0"/>
      <pageSetup paperSize="9" orientation="portrait" r:id="rId3"/>
    </customSheetView>
    <customSheetView guid="{55CEC4CC-9BBF-4F2D-BA17-E94F4B26FAC5}" showGridLines="0">
      <selection activeCell="D1" sqref="D1"/>
      <pageMargins left="0" right="0" top="0" bottom="0" header="0" footer="0"/>
      <pageSetup paperSize="9" orientation="portrait" r:id="rId4"/>
    </customSheetView>
    <customSheetView guid="{7735C88E-3A13-4DCF-BB32-4D20A306A8BB}" showGridLines="0">
      <selection activeCell="D1" sqref="D1"/>
      <pageMargins left="0" right="0" top="0" bottom="0" header="0" footer="0"/>
      <pageSetup paperSize="9" orientation="portrait" r:id="rId5"/>
    </customSheetView>
    <customSheetView guid="{27B9E3C6-8189-41E0-896B-02A30393FDC0}" showGridLines="0">
      <selection activeCell="D1" sqref="D1"/>
      <pageMargins left="0" right="0" top="0" bottom="0" header="0" footer="0"/>
      <pageSetup paperSize="9" orientation="portrait" r:id="rId6"/>
    </customSheetView>
    <customSheetView guid="{ED9AC919-98EB-43A3-A158-23FD7D007D30}" showGridLines="0">
      <selection activeCell="D1" sqref="D1"/>
      <pageMargins left="0" right="0" top="0" bottom="0" header="0" footer="0"/>
      <pageSetup paperSize="9" orientation="portrait" r:id="rId7"/>
    </customSheetView>
  </customSheetViews>
  <mergeCells count="2">
    <mergeCell ref="C15:C20"/>
    <mergeCell ref="C22:C64"/>
  </mergeCells>
  <hyperlinks>
    <hyperlink ref="B12" location="Units!A1" display="Units" xr:uid="{E37EA686-EA87-4C79-AD23-6925102A29C5}"/>
    <hyperlink ref="B14" location="Assumptions!A1" display="Assumptions" xr:uid="{064625B3-12CD-4009-8D99-F7D142D3EACC}"/>
    <hyperlink ref="B15" location="GHG_ELECTROLYSIS!A1" display="GHG_ELECTROLYSIS" xr:uid="{FC55BA50-A5F5-44CF-B6E5-C299F8555928}"/>
    <hyperlink ref="B16" location="GHG_FOSSIL_REFORM_CCS!A1" display="GHG_FOSSIL_REFORM_CCS" xr:uid="{439A0861-E4B8-4D50-8D56-FA22438782DF}"/>
    <hyperlink ref="B17" location="GHG_BIOMETHANE_REFORM!A1" display="GHG_BIOMETHANE_REFORM" xr:uid="{0A5AA8C7-0E36-4DEC-9BF7-70F47E3CCFAD}"/>
    <hyperlink ref="B18" location="GHG_BIOMASS_GASIFICATION!A1" display="GHG_BIOMASS_GASIFICATION" xr:uid="{547ED829-6217-41D8-9036-216F982F0929}"/>
    <hyperlink ref="B19" location="GHG_WASTE_GASIFICATION!A1" display="GHG_WASTE_GASIFICATION" xr:uid="{AA923DD2-5342-46B5-96D3-1BD64A5F5C46}"/>
    <hyperlink ref="B20" location="GHG_GENERIC_OTHER!A1" display="GHG_GENERIC_OTHER" xr:uid="{62125913-33C0-44BD-9E8B-04A0E2EFD926}"/>
    <hyperlink ref="B23" location="Electrolysis!A1" display="Electrolysis" xr:uid="{63D1464E-B193-456C-9227-9C5035C2F6A1}"/>
    <hyperlink ref="B26" location="NG_Collection!A1" display="NG Collection" xr:uid="{B4360640-332E-4331-A850-04C84B50D86C}"/>
    <hyperlink ref="B27" location="NG_Transport!A1" display="NG Transport" xr:uid="{5E1DDCE6-79D1-4C5C-8945-C127EC78852B}"/>
    <hyperlink ref="B28" location="NG_Processing!A1" display="NG Processing" xr:uid="{3AD7A6F6-AA19-4EF5-B067-99951FA4DD7D}"/>
    <hyperlink ref="B29" location="NG_Further_Transport!A1" display="NG Further Transport" xr:uid="{1BB3CCCB-9428-402E-97D9-BCBA65FE0C44}"/>
    <hyperlink ref="B30" location="NG_Reforming_CCS!A1" display="NG Reforming + CCS" xr:uid="{B359935B-CEE3-49C6-84DC-3B0BF2BC1731}"/>
    <hyperlink ref="B33" location="Biogas_Feedstock_Cultivation!A1" display="Biogas Feedstock Cultivation" xr:uid="{85246442-0285-4125-9D56-99D594F1D6DE}"/>
    <hyperlink ref="B35" location="Biogas_Feedstock_Collection!A1" display="Biogas Feedstock Collection" xr:uid="{CC348454-33E4-4EC2-A309-0EFE94F77155}"/>
    <hyperlink ref="B36" location="Biogas_Feedstock_Transport!A1" display="Biogas Feedstock Transport" xr:uid="{F87B6F84-24D6-4A1D-9459-53A125EA5631}"/>
    <hyperlink ref="B37" location="'Biogas+Biomethane_Upgrading'!A1" display="Biogas+Biomethane Upgrading" xr:uid="{AE740AA5-BE05-42C8-8081-679053ED2FD3}"/>
    <hyperlink ref="B38" location="Biomethane_Transport!A1" display="Biomethane Transport" xr:uid="{4D65713F-32D8-4EA3-AD33-59920B53C214}"/>
    <hyperlink ref="B39" location="Biomethane_Reforming_CCS!A1" display="Biomethane Reforming (+ CCS)" xr:uid="{A34E59A2-8D3B-4CBE-950D-5419DA3B62AB}"/>
    <hyperlink ref="B44" location="Biomass_Collection!A1" display="Biomass Collection" xr:uid="{9AAFDA45-9460-4925-9B19-18941C8D3F90}"/>
    <hyperlink ref="B42" location="Biomass_Cultivation!A1" display="Biomass Cultivation" xr:uid="{CD86146A-0FA4-4C19-A138-4415F9200D38}"/>
    <hyperlink ref="B45" location="Biomass_Transport!A1" display="Biomass Transport" xr:uid="{AE518C84-6609-4C0D-A0EC-6C82D268B0E2}"/>
    <hyperlink ref="B46" location="'Biomass_Pre-Processing'!A1" display="Biomass Pre-Processing" xr:uid="{4BE25332-B3EA-4976-AD07-B75B72B5B73C}"/>
    <hyperlink ref="B47" location="Biomass_Further_Transport!A1" display="Biomass Further Transport" xr:uid="{674C94F6-F688-4079-B5BF-3F512F263124}"/>
    <hyperlink ref="B48" location="Biomass_Gasification_CCS!A1" display="Biomass Gasification (+ CCS)" xr:uid="{ED4B6008-4D05-4BEC-B24D-6478F3B85EA3}"/>
    <hyperlink ref="B51" location="Waste_Collection!A1" display="Waste Collection" xr:uid="{33FD06AB-8BB0-4A84-A99A-680CC79B61CE}"/>
    <hyperlink ref="B52" location="Waste_Transport!A1" display="Waste Transport" xr:uid="{6A84C630-6B58-4F25-B22F-AA4C19BD88FD}"/>
    <hyperlink ref="B53" location="'Waste_Pre-Processing'!A1" display="Waste Pre-Processing" xr:uid="{D4EDB51C-E544-430A-91C2-2908C86FC16C}"/>
    <hyperlink ref="B54" location="Waste_Further_Transport!A1" display="Waste Further Transport" xr:uid="{9CBB4FBB-0543-4553-A228-F81A62FD2507}"/>
    <hyperlink ref="B55" location="Waste_Gasification_CCS!A1" display="Waste Gasification (+ CCS)" xr:uid="{2E259662-4A24-4142-A818-955CA81A96ED}"/>
    <hyperlink ref="B60" location="Generic_Feedstock_Collection!A1" display="Generic Feedstock Collection" xr:uid="{84344BB0-E223-452F-B3A6-BA633EB54F4A}"/>
    <hyperlink ref="B61" location="Generic_Feedstock_Transport!A1" display="Generic Feedstock Transport" xr:uid="{B9FFD7C9-5FD8-4C45-AE41-E6FE1B869AFF}"/>
    <hyperlink ref="B62" location="'Generic_Pre-Processing'!A1" display="Generic Pre-Processing" xr:uid="{791E891F-83F1-4EB5-84AF-8A9963EE86A4}"/>
    <hyperlink ref="B63" location="Generic_Further_Transport!A1" display="Generic Further Transport" xr:uid="{FC4C0A97-06C6-4C71-B54B-5C87223AD926}"/>
    <hyperlink ref="B64" location="Generic_Conversion!A1" display="Generic Conversion" xr:uid="{6C90B5DD-53C1-4C62-9414-666A19BA4136}"/>
    <hyperlink ref="B34" location="Biogas_Feedstock_Harvesting!A1" display="Biogas Feedstock Harvesting" xr:uid="{FF9C4054-5AE1-40B8-9E1C-C60335C95A71}"/>
    <hyperlink ref="B43" location="Biomass_Harvesting!A1" display="Biomass Harvesting" xr:uid="{4AFC986B-142D-4E78-BCCA-9E8E6B156736}"/>
    <hyperlink ref="B58" location="Generic_Feedstock_Cultivation!A1" display="Generic Feedstock Cultivation" xr:uid="{8FC2031C-C66F-4C7A-9572-07865EAAD8D2}"/>
    <hyperlink ref="B5" location="'Guidance Initial_questions'!A1" display="Guidance Initial Qus" xr:uid="{DDA4D3B7-DC27-40BA-A855-569BD2499D23}"/>
    <hyperlink ref="B59" location="Generic_Feedstock_Harvesting!A1" display="Generic Feedstock Harvesting" xr:uid="{5E4A07A6-277D-4BB9-B8A8-88B25F5172C0}"/>
    <hyperlink ref="B8" location="'Guidance Summary GHG'!A1" display="Guidance Summary GHG" xr:uid="{B5BD78D3-6545-4B09-94AC-6792BA811E40}"/>
    <hyperlink ref="B6" location="'Guidance Processing'!A1" display="Guidance Processing" xr:uid="{80C367A8-7B2D-47DD-B64B-D4E6D1C57DB0}"/>
    <hyperlink ref="B7" location="'Guidance Feedstock dLUC'!A1" display="Guidance Feedstock dLUC" xr:uid="{B85A42E1-9A4C-4743-A44D-590C3FA25840}"/>
    <hyperlink ref="B13" location="'Default data'!A1" display="Default data" xr:uid="{F8CEF998-F394-49C1-875F-9F0714B244AC}"/>
    <hyperlink ref="B10" location="System_Boundary!A1" display="System boundary" xr:uid="{7192F820-AC17-4BD7-AB4A-4A2CF9A34604}"/>
    <hyperlink ref="B9" location="Initial_questions!A1" display="Guidance 1" xr:uid="{6519E2B9-140C-4E57-A173-D928B753A54A}"/>
    <hyperlink ref="B3" location="Title!A1" display="Title" xr:uid="{DF624730-1AB1-407A-8C25-9DFAEC00CF2E}"/>
    <hyperlink ref="B4" location="Navigation!A1" display="Navigation" xr:uid="{94CADE7D-EAB3-46BD-A4E2-D66FAEA18628}"/>
    <hyperlink ref="B11" location="Dashboard!A1" display="Dashboard" xr:uid="{9A1843F1-4C95-4C12-BCDF-C9FC9CF8E05C}"/>
  </hyperlinks>
  <pageMargins left="0" right="0" top="0" bottom="0" header="0" footer="0"/>
  <pageSetup paperSize="9" orientation="portrait" r:id="rId8"/>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theme="5"/>
  </sheetPr>
  <dimension ref="A1:Z190"/>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IF(AND(Initial_questions!$E$21&lt;&gt;"Fossil Autothermal Reformer (ATR) with CCS", Initial_questions!$E$21&lt;&gt;"Fossil Steam Methane Reformer (SMR) with CCS",Initial_questions!$E$21&lt;&gt;"Fossil Partial Oxidation (POX) with CCS",Master_Switch="On"),"User should not fill in this sheet, but switch to other non-blank GHG worksheets","")</f>
        <v>User should not fill in this sheet, but switch to other non-blank GHG worksheets</v>
      </c>
      <c r="C1" s="83"/>
      <c r="E1" s="262"/>
    </row>
    <row r="2" spans="1:26" ht="20.399999999999999" customHeight="1">
      <c r="B2" s="83" t="str">
        <f>IF(AND(GHG_FOSSIL_REFORM_CCS!$D$3="Default",Master_Switch="On"),"Default data selected for this module, move to the next step of the pathway",IF(AND(Initial_questions!$E$67=Units!$G$120,Master_Switch="On"), "OGA data used, move to the next step of the pathway",""))</f>
        <v/>
      </c>
      <c r="E2" s="262"/>
      <c r="I2" s="669" t="s">
        <v>631</v>
      </c>
      <c r="J2" s="671"/>
      <c r="K2" s="672"/>
    </row>
    <row r="3" spans="1:26" ht="15" customHeight="1">
      <c r="E3" s="262"/>
    </row>
    <row r="4" spans="1:26" ht="15.6" customHeight="1" thickBot="1">
      <c r="A4" s="19"/>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752</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90" t="s">
        <v>592</v>
      </c>
      <c r="C8" s="188" t="s">
        <v>646</v>
      </c>
      <c r="D8" s="183" t="s">
        <v>747</v>
      </c>
      <c r="E8" s="313"/>
      <c r="F8" s="21"/>
      <c r="G8" s="21"/>
      <c r="H8" s="20"/>
      <c r="I8" s="486"/>
      <c r="J8" s="309"/>
      <c r="K8" s="309"/>
      <c r="L8" s="247">
        <f t="shared" ref="L8:L17" si="0">IF($D8="MWh/yr (LHV)",$E8,$J8*$E8/Conversion_kWh_to_MJ)</f>
        <v>0</v>
      </c>
      <c r="M8" s="12"/>
      <c r="P8" s="307" t="str">
        <f>IF(B8="", "", IF(D8="MWh/yr (LHV)", "Use column to right", "Enter data here"))</f>
        <v>Use column to right</v>
      </c>
      <c r="Q8" s="307" t="e">
        <f>INDEX(Assumptions!$F$5:$AJ$5,1,MATCH(Initial_questions!$E$24,Assumptions!$F$4:$AJ$4,0))*1000/Conversion_kWh_to_MJ</f>
        <v>#N/A</v>
      </c>
      <c r="R8" s="35" t="s">
        <v>896</v>
      </c>
      <c r="S8" s="247" t="str">
        <f t="shared" ref="S8:S17" si="1">IFERROR(IF(D8="tonnes/yr", $P8*$E8/($L$20*3.6), $Q8*$E8*3.6/($L$20*3.6)), "Unfilled fields to left")</f>
        <v>Unfilled fields to left</v>
      </c>
      <c r="U8" s="25"/>
      <c r="V8" s="12"/>
    </row>
    <row r="9" spans="1:26">
      <c r="B9" s="190" t="s">
        <v>592</v>
      </c>
      <c r="C9" s="188" t="s">
        <v>634</v>
      </c>
      <c r="D9" s="183" t="s">
        <v>747</v>
      </c>
      <c r="E9" s="313"/>
      <c r="F9" s="21"/>
      <c r="G9" s="21"/>
      <c r="H9" s="20"/>
      <c r="I9" s="486"/>
      <c r="J9" s="309"/>
      <c r="K9" s="309"/>
      <c r="L9" s="247">
        <f t="shared" si="0"/>
        <v>0</v>
      </c>
      <c r="M9" s="12"/>
      <c r="P9" s="307" t="str">
        <f t="shared" ref="P9:P17" si="2">IF(B9="", "", IF(D9="MWh/yr (LHV)", "Use column to right", "Enter data here"))</f>
        <v>Use column to right</v>
      </c>
      <c r="Q9" s="307" t="str">
        <f>IF(B9="", "", IF(D9="MWh/yr (LHV)", "Enter data here", "Use column to left"))</f>
        <v>Enter data here</v>
      </c>
      <c r="R9" s="35" t="s">
        <v>898</v>
      </c>
      <c r="S9" s="247" t="str">
        <f t="shared" si="1"/>
        <v>Unfilled fields to left</v>
      </c>
      <c r="U9" s="25"/>
      <c r="V9" s="12"/>
    </row>
    <row r="10" spans="1:26">
      <c r="B10" s="190" t="s">
        <v>599</v>
      </c>
      <c r="C10" s="188" t="s">
        <v>600</v>
      </c>
      <c r="D10" s="183" t="s">
        <v>582</v>
      </c>
      <c r="E10" s="313"/>
      <c r="F10" s="21"/>
      <c r="G10" s="21"/>
      <c r="H10" s="20"/>
      <c r="I10" s="486"/>
      <c r="J10" s="309"/>
      <c r="K10" s="309"/>
      <c r="L10" s="247">
        <f t="shared" si="0"/>
        <v>0</v>
      </c>
      <c r="M10" s="12"/>
      <c r="P10" s="307" t="str">
        <f t="shared" si="2"/>
        <v>Enter data here</v>
      </c>
      <c r="Q10" s="307" t="str">
        <f t="shared" ref="Q10:Q17" si="3">IF(B10="", "", IF(D10="MWh/yr (LHV)", "Enter data here", "Use column to left"))</f>
        <v>Use column to left</v>
      </c>
      <c r="R10" s="35" t="s">
        <v>898</v>
      </c>
      <c r="S10" s="247" t="str">
        <f t="shared" si="1"/>
        <v>Unfilled fields to left</v>
      </c>
      <c r="U10" s="25"/>
      <c r="V10" s="12"/>
    </row>
    <row r="11" spans="1:26">
      <c r="B11" s="190" t="s">
        <v>599</v>
      </c>
      <c r="C11" s="188" t="s">
        <v>601</v>
      </c>
      <c r="D11" s="183" t="s">
        <v>582</v>
      </c>
      <c r="E11" s="313"/>
      <c r="F11" s="21"/>
      <c r="G11" s="21"/>
      <c r="H11" s="20"/>
      <c r="I11" s="486"/>
      <c r="J11" s="309"/>
      <c r="K11" s="309"/>
      <c r="L11" s="247">
        <f t="shared" si="0"/>
        <v>0</v>
      </c>
      <c r="M11" s="12"/>
      <c r="P11" s="307" t="str">
        <f t="shared" si="2"/>
        <v>Enter data here</v>
      </c>
      <c r="Q11" s="307" t="str">
        <f t="shared" si="3"/>
        <v>Use column to left</v>
      </c>
      <c r="R11" s="35" t="s">
        <v>898</v>
      </c>
      <c r="S11" s="247" t="str">
        <f t="shared" si="1"/>
        <v>Unfilled fields to left</v>
      </c>
      <c r="U11" s="25"/>
      <c r="V11" s="12"/>
    </row>
    <row r="12" spans="1:26">
      <c r="B12" s="190" t="s">
        <v>605</v>
      </c>
      <c r="C12" s="188" t="s">
        <v>585</v>
      </c>
      <c r="D12" s="183" t="s">
        <v>582</v>
      </c>
      <c r="E12" s="313"/>
      <c r="F12" s="21"/>
      <c r="G12" s="21"/>
      <c r="H12" s="20"/>
      <c r="I12" s="486"/>
      <c r="J12" s="309"/>
      <c r="K12" s="309"/>
      <c r="L12" s="247">
        <f t="shared" si="0"/>
        <v>0</v>
      </c>
      <c r="M12" s="12"/>
      <c r="P12" s="307" t="str">
        <f t="shared" si="2"/>
        <v>Enter data here</v>
      </c>
      <c r="Q12" s="307" t="str">
        <f t="shared" si="3"/>
        <v>Use column to left</v>
      </c>
      <c r="R12" s="35" t="s">
        <v>898</v>
      </c>
      <c r="S12" s="247" t="str">
        <f t="shared" si="1"/>
        <v>Unfilled fields to left</v>
      </c>
      <c r="U12" s="25"/>
      <c r="V12" s="12"/>
    </row>
    <row r="13" spans="1:26">
      <c r="B13" s="190" t="s">
        <v>605</v>
      </c>
      <c r="C13" s="188" t="s">
        <v>635</v>
      </c>
      <c r="D13" s="183" t="s">
        <v>582</v>
      </c>
      <c r="E13" s="313"/>
      <c r="F13" s="21"/>
      <c r="G13" s="21"/>
      <c r="H13" s="20"/>
      <c r="I13" s="486"/>
      <c r="J13" s="309"/>
      <c r="K13" s="309"/>
      <c r="L13" s="247">
        <f t="shared" si="0"/>
        <v>0</v>
      </c>
      <c r="M13" s="12"/>
      <c r="P13" s="307" t="str">
        <f t="shared" si="2"/>
        <v>Enter data here</v>
      </c>
      <c r="Q13" s="307" t="str">
        <f t="shared" si="3"/>
        <v>Use column to left</v>
      </c>
      <c r="R13" s="35" t="s">
        <v>898</v>
      </c>
      <c r="S13" s="247" t="str">
        <f t="shared" si="1"/>
        <v>Unfilled fields to left</v>
      </c>
      <c r="U13" s="25"/>
      <c r="V13" s="12"/>
    </row>
    <row r="14" spans="1:26">
      <c r="B14" s="190" t="s">
        <v>636</v>
      </c>
      <c r="C14" s="188" t="s">
        <v>609</v>
      </c>
      <c r="D14" s="183" t="s">
        <v>582</v>
      </c>
      <c r="E14" s="313"/>
      <c r="F14" s="21"/>
      <c r="G14" s="21"/>
      <c r="H14" s="20"/>
      <c r="I14" s="486"/>
      <c r="J14" s="309"/>
      <c r="K14" s="309"/>
      <c r="L14" s="247">
        <f t="shared" si="0"/>
        <v>0</v>
      </c>
      <c r="M14" s="12"/>
      <c r="P14" s="307" t="str">
        <f t="shared" si="2"/>
        <v>Enter data here</v>
      </c>
      <c r="Q14" s="307" t="str">
        <f t="shared" si="3"/>
        <v>Use column to left</v>
      </c>
      <c r="R14" s="35" t="s">
        <v>898</v>
      </c>
      <c r="S14" s="247" t="str">
        <f t="shared" si="1"/>
        <v>Unfilled fields to left</v>
      </c>
      <c r="U14" s="25"/>
      <c r="V14" s="12"/>
    </row>
    <row r="15" spans="1:26">
      <c r="B15" s="190" t="s">
        <v>636</v>
      </c>
      <c r="C15" s="188"/>
      <c r="D15" s="183"/>
      <c r="E15" s="313"/>
      <c r="F15" s="21"/>
      <c r="G15" s="21"/>
      <c r="H15" s="20"/>
      <c r="I15" s="486"/>
      <c r="J15" s="309"/>
      <c r="K15" s="309"/>
      <c r="L15" s="247">
        <f t="shared" si="0"/>
        <v>0</v>
      </c>
      <c r="M15" s="12"/>
      <c r="P15" s="307" t="str">
        <f t="shared" si="2"/>
        <v>Enter data here</v>
      </c>
      <c r="Q15" s="307" t="str">
        <f t="shared" si="3"/>
        <v>Use column to left</v>
      </c>
      <c r="R15" s="35" t="s">
        <v>898</v>
      </c>
      <c r="S15" s="247" t="str">
        <f t="shared" si="1"/>
        <v>Unfilled fields to left</v>
      </c>
      <c r="U15" s="25"/>
      <c r="V15" s="12"/>
    </row>
    <row r="16" spans="1:26">
      <c r="B16" s="190"/>
      <c r="C16" s="188"/>
      <c r="D16" s="183"/>
      <c r="E16" s="313"/>
      <c r="F16" s="21"/>
      <c r="G16" s="21"/>
      <c r="H16" s="20"/>
      <c r="I16" s="486"/>
      <c r="J16" s="309"/>
      <c r="K16" s="309"/>
      <c r="L16" s="247">
        <f t="shared" si="0"/>
        <v>0</v>
      </c>
      <c r="M16" s="12"/>
      <c r="P16" s="307" t="str">
        <f t="shared" ref="P16" si="4">IF(B16="", "", IF(D16="MWh/yr (LHV)", "Use column to right", "Enter data here"))</f>
        <v/>
      </c>
      <c r="Q16" s="307" t="str">
        <f t="shared" ref="Q16" si="5">IF(B16="", "", IF(D16="MWh/yr (LHV)", "Enter data here", "Use column to left"))</f>
        <v/>
      </c>
      <c r="R16" s="35"/>
      <c r="S16" s="247" t="str">
        <f t="shared" si="1"/>
        <v>Unfilled fields to left</v>
      </c>
      <c r="U16" s="25"/>
      <c r="V16" s="12"/>
    </row>
    <row r="17" spans="2:26">
      <c r="B17" s="16"/>
      <c r="C17" s="15"/>
      <c r="D17" s="183"/>
      <c r="E17" s="313"/>
      <c r="F17" s="21"/>
      <c r="G17" s="21"/>
      <c r="H17" s="20"/>
      <c r="I17" s="486"/>
      <c r="J17" s="309"/>
      <c r="K17" s="309"/>
      <c r="L17" s="247">
        <f t="shared" si="0"/>
        <v>0</v>
      </c>
      <c r="M17" s="12"/>
      <c r="P17" s="307" t="str">
        <f t="shared" si="2"/>
        <v/>
      </c>
      <c r="Q17" s="307" t="str">
        <f t="shared" si="3"/>
        <v/>
      </c>
      <c r="R17" s="35"/>
      <c r="S17" s="247" t="str">
        <f t="shared" si="1"/>
        <v>Unfilled fields to left</v>
      </c>
      <c r="U17" s="25"/>
      <c r="V17" s="12"/>
    </row>
    <row r="18" spans="2:26">
      <c r="C18" s="17"/>
      <c r="D18" s="17"/>
      <c r="E18" s="534"/>
      <c r="F18" s="26"/>
      <c r="G18" s="26"/>
      <c r="H18" s="22"/>
      <c r="I18" s="22"/>
      <c r="J18" s="41"/>
      <c r="K18" s="41"/>
      <c r="L18" s="41"/>
      <c r="P18" s="41"/>
      <c r="Q18" s="41"/>
      <c r="R18" s="41"/>
      <c r="S18" s="41"/>
      <c r="U18" s="27"/>
      <c r="V18" s="12"/>
    </row>
    <row r="19" spans="2:26">
      <c r="B19" s="149" t="s">
        <v>637</v>
      </c>
      <c r="C19" s="149"/>
      <c r="D19" s="149"/>
      <c r="E19" s="521"/>
      <c r="F19" s="487"/>
      <c r="G19" s="487"/>
      <c r="H19" s="487"/>
      <c r="I19" s="487"/>
      <c r="J19" s="521"/>
      <c r="K19" s="521"/>
      <c r="L19" s="308"/>
      <c r="N19"/>
      <c r="O19"/>
      <c r="P19" s="40"/>
      <c r="Q19" s="40"/>
      <c r="R19" s="40"/>
      <c r="S19" s="40"/>
      <c r="T19" s="19"/>
      <c r="U19" s="19"/>
      <c r="V19" s="19"/>
      <c r="W19" s="19"/>
      <c r="X19" s="19"/>
      <c r="Y19" s="19"/>
      <c r="Z19" s="19"/>
    </row>
    <row r="20" spans="2:26">
      <c r="B20" s="16" t="s">
        <v>638</v>
      </c>
      <c r="C20" s="188" t="s">
        <v>639</v>
      </c>
      <c r="D20" s="183" t="s">
        <v>582</v>
      </c>
      <c r="E20" s="313"/>
      <c r="F20" s="21"/>
      <c r="G20" s="21"/>
      <c r="H20" s="21"/>
      <c r="I20" s="21"/>
      <c r="J20" s="309"/>
      <c r="K20" s="313"/>
      <c r="L20" s="247">
        <f t="shared" ref="L20:L32" si="6">IF($D20="MWh/yr (LHV)",$E20,$J20*$E20/Conversion_kWh_to_MJ)</f>
        <v>0</v>
      </c>
      <c r="N20" s="251" t="s">
        <v>485</v>
      </c>
      <c r="O20" s="250" t="str">
        <f>IFERROR(L20/(SUM($L$20:$L$22)),"")</f>
        <v/>
      </c>
      <c r="P20" s="42"/>
      <c r="Q20" s="42"/>
      <c r="R20" s="42"/>
      <c r="S20" s="42"/>
      <c r="U20" s="21"/>
      <c r="V20" s="12"/>
    </row>
    <row r="21" spans="2:26" s="14" customFormat="1">
      <c r="B21" s="190" t="s">
        <v>583</v>
      </c>
      <c r="C21" s="188" t="s">
        <v>804</v>
      </c>
      <c r="D21" s="183" t="s">
        <v>582</v>
      </c>
      <c r="E21" s="313"/>
      <c r="F21" s="21"/>
      <c r="G21" s="21"/>
      <c r="H21" s="20"/>
      <c r="I21" s="20"/>
      <c r="J21" s="309"/>
      <c r="K21" s="309"/>
      <c r="L21" s="247">
        <f t="shared" si="6"/>
        <v>0</v>
      </c>
      <c r="M21" s="12"/>
      <c r="N21" s="12"/>
      <c r="O21" s="250" t="str">
        <f t="shared" ref="O21:O22" si="7">IFERROR(L21/(SUM($L$20:$L$22)),"")</f>
        <v/>
      </c>
      <c r="P21" s="42"/>
      <c r="Q21" s="42"/>
      <c r="R21" s="110"/>
      <c r="S21" s="12"/>
      <c r="T21" s="23"/>
      <c r="U21" s="21"/>
      <c r="V21" s="23"/>
      <c r="W21" s="42"/>
      <c r="Y21" s="12"/>
    </row>
    <row r="22" spans="2:26" s="14" customFormat="1">
      <c r="B22" s="190" t="s">
        <v>583</v>
      </c>
      <c r="C22" s="188" t="s">
        <v>803</v>
      </c>
      <c r="D22" s="183" t="s">
        <v>582</v>
      </c>
      <c r="E22" s="313"/>
      <c r="F22" s="21"/>
      <c r="G22" s="21"/>
      <c r="H22" s="20"/>
      <c r="I22" s="20"/>
      <c r="J22" s="309"/>
      <c r="K22" s="309"/>
      <c r="L22" s="247">
        <f t="shared" si="6"/>
        <v>0</v>
      </c>
      <c r="M22" s="12"/>
      <c r="N22" s="12"/>
      <c r="O22" s="250" t="str">
        <f t="shared" si="7"/>
        <v/>
      </c>
      <c r="P22" s="42"/>
      <c r="Q22" s="42"/>
      <c r="R22" s="110"/>
      <c r="S22" s="12"/>
      <c r="T22" s="23"/>
      <c r="U22" s="21"/>
      <c r="V22" s="23"/>
      <c r="W22" s="42"/>
      <c r="Y22" s="12"/>
    </row>
    <row r="23" spans="2:26" s="14" customFormat="1">
      <c r="B23" s="190" t="s">
        <v>586</v>
      </c>
      <c r="C23" s="188" t="s">
        <v>587</v>
      </c>
      <c r="D23" s="183" t="s">
        <v>582</v>
      </c>
      <c r="E23" s="313"/>
      <c r="F23" s="21"/>
      <c r="G23" s="21"/>
      <c r="H23" s="20"/>
      <c r="I23" s="20"/>
      <c r="J23" s="309"/>
      <c r="K23" s="309"/>
      <c r="L23" s="247">
        <f t="shared" si="6"/>
        <v>0</v>
      </c>
      <c r="M23" s="12"/>
      <c r="N23" s="12"/>
      <c r="O23" s="12"/>
      <c r="P23" s="110"/>
      <c r="Q23" s="110"/>
      <c r="R23" s="110"/>
      <c r="S23" s="12"/>
      <c r="T23" s="23"/>
      <c r="U23" s="21"/>
      <c r="V23" s="23"/>
      <c r="W23" s="42"/>
      <c r="Y23" s="12"/>
    </row>
    <row r="24" spans="2:26" s="14" customFormat="1">
      <c r="B24" s="190" t="s">
        <v>586</v>
      </c>
      <c r="C24" s="188" t="s">
        <v>588</v>
      </c>
      <c r="D24" s="183" t="s">
        <v>582</v>
      </c>
      <c r="E24" s="313"/>
      <c r="F24" s="21"/>
      <c r="G24" s="21"/>
      <c r="H24" s="20"/>
      <c r="I24" s="20"/>
      <c r="J24" s="309"/>
      <c r="K24" s="309"/>
      <c r="L24" s="247">
        <f t="shared" si="6"/>
        <v>0</v>
      </c>
      <c r="M24" s="12"/>
      <c r="N24" s="12"/>
      <c r="O24" s="12"/>
      <c r="P24" s="110"/>
      <c r="Q24" s="110"/>
      <c r="R24" s="110"/>
      <c r="S24" s="12"/>
      <c r="T24" s="23"/>
      <c r="U24" s="21"/>
      <c r="V24" s="23"/>
      <c r="W24" s="42"/>
      <c r="Y24" s="12"/>
    </row>
    <row r="25" spans="2:26" s="14" customFormat="1">
      <c r="B25" s="190" t="s">
        <v>589</v>
      </c>
      <c r="C25" s="188" t="s">
        <v>590</v>
      </c>
      <c r="D25" s="183" t="s">
        <v>582</v>
      </c>
      <c r="E25" s="313"/>
      <c r="F25" s="21"/>
      <c r="G25" s="21"/>
      <c r="H25" s="20"/>
      <c r="I25" s="486"/>
      <c r="J25" s="309"/>
      <c r="K25" s="309"/>
      <c r="L25" s="247">
        <f t="shared" si="6"/>
        <v>0</v>
      </c>
      <c r="M25" s="12"/>
      <c r="N25" s="12"/>
      <c r="O25" s="12"/>
      <c r="P25" s="110"/>
      <c r="Q25" s="110"/>
      <c r="R25" s="110"/>
      <c r="S25" s="12"/>
      <c r="U25" s="21"/>
    </row>
    <row r="26" spans="2:26" s="14" customFormat="1">
      <c r="B26" s="190" t="s">
        <v>589</v>
      </c>
      <c r="C26" s="188" t="s">
        <v>591</v>
      </c>
      <c r="D26" s="183" t="s">
        <v>582</v>
      </c>
      <c r="E26" s="313"/>
      <c r="F26" s="21"/>
      <c r="G26" s="21"/>
      <c r="H26" s="20"/>
      <c r="I26" s="486"/>
      <c r="J26" s="309"/>
      <c r="K26" s="309"/>
      <c r="L26" s="247">
        <f t="shared" si="6"/>
        <v>0</v>
      </c>
      <c r="M26" s="12"/>
      <c r="N26" s="12"/>
      <c r="O26" s="12"/>
      <c r="P26" s="110"/>
      <c r="Q26" s="110"/>
      <c r="R26" s="110"/>
      <c r="S26" s="12"/>
      <c r="U26" s="21"/>
    </row>
    <row r="27" spans="2:26" s="14" customFormat="1">
      <c r="B27" s="190" t="s">
        <v>611</v>
      </c>
      <c r="C27" s="188" t="s">
        <v>815</v>
      </c>
      <c r="D27" s="183" t="s">
        <v>582</v>
      </c>
      <c r="E27" s="313"/>
      <c r="F27" s="488"/>
      <c r="G27" s="21"/>
      <c r="H27" s="20"/>
      <c r="I27" s="486"/>
      <c r="J27" s="309"/>
      <c r="K27" s="309"/>
      <c r="L27" s="247">
        <f t="shared" si="6"/>
        <v>0</v>
      </c>
      <c r="M27" s="12"/>
      <c r="N27" s="12"/>
      <c r="O27" s="12"/>
      <c r="P27" s="556">
        <f>1*1000</f>
        <v>1000</v>
      </c>
      <c r="Q27" s="505"/>
      <c r="R27" s="558" t="s">
        <v>814</v>
      </c>
      <c r="S27" s="247" t="str">
        <f t="shared" ref="S27:S32" si="8">IFERROR(IF(D27="tonnes/yr", $P27*$E27/($L$20*3.6), $Q27*$E27*3.6/($L$20*3.6)), "Unfilled fields to left")</f>
        <v>Unfilled fields to left</v>
      </c>
      <c r="U27" s="21"/>
    </row>
    <row r="28" spans="2:26" s="14" customFormat="1">
      <c r="B28" s="190" t="s">
        <v>811</v>
      </c>
      <c r="C28" s="188" t="s">
        <v>832</v>
      </c>
      <c r="D28" s="183" t="s">
        <v>582</v>
      </c>
      <c r="E28" s="35">
        <f>E27*E37*(1-E38)</f>
        <v>0</v>
      </c>
      <c r="F28" s="488"/>
      <c r="G28" s="21"/>
      <c r="H28" s="20"/>
      <c r="I28" s="486"/>
      <c r="J28" s="309"/>
      <c r="K28" s="309"/>
      <c r="L28" s="247">
        <f t="shared" si="6"/>
        <v>0</v>
      </c>
      <c r="M28" s="12"/>
      <c r="N28" s="12"/>
      <c r="O28" s="12"/>
      <c r="P28" s="556">
        <v>-1000</v>
      </c>
      <c r="Q28" s="505"/>
      <c r="R28" s="558" t="s">
        <v>817</v>
      </c>
      <c r="S28" s="247" t="str">
        <f t="shared" si="8"/>
        <v>Unfilled fields to left</v>
      </c>
      <c r="U28" s="21"/>
    </row>
    <row r="29" spans="2:26" s="14" customFormat="1">
      <c r="B29" s="190" t="s">
        <v>640</v>
      </c>
      <c r="C29" s="188" t="s">
        <v>823</v>
      </c>
      <c r="D29" s="183" t="s">
        <v>582</v>
      </c>
      <c r="E29" s="313"/>
      <c r="F29" s="488"/>
      <c r="G29" s="21"/>
      <c r="H29" s="20"/>
      <c r="I29" s="486"/>
      <c r="J29" s="309"/>
      <c r="K29" s="309"/>
      <c r="L29" s="247">
        <f t="shared" si="6"/>
        <v>0</v>
      </c>
      <c r="M29" s="12"/>
      <c r="N29" s="12"/>
      <c r="O29" s="12"/>
      <c r="P29" s="556">
        <f>28*1000</f>
        <v>28000</v>
      </c>
      <c r="Q29" s="505"/>
      <c r="R29" s="558" t="s">
        <v>651</v>
      </c>
      <c r="S29" s="247" t="str">
        <f t="shared" si="8"/>
        <v>Unfilled fields to left</v>
      </c>
      <c r="U29" s="21"/>
    </row>
    <row r="30" spans="2:26" s="14" customFormat="1">
      <c r="B30" s="190" t="s">
        <v>640</v>
      </c>
      <c r="C30" s="188" t="s">
        <v>824</v>
      </c>
      <c r="D30" s="183" t="s">
        <v>582</v>
      </c>
      <c r="E30" s="313"/>
      <c r="F30" s="21"/>
      <c r="G30" s="21"/>
      <c r="H30" s="20"/>
      <c r="I30" s="486"/>
      <c r="J30" s="309"/>
      <c r="K30" s="309"/>
      <c r="L30" s="247">
        <f t="shared" si="6"/>
        <v>0</v>
      </c>
      <c r="M30" s="12"/>
      <c r="N30" s="12"/>
      <c r="O30" s="12"/>
      <c r="P30" s="563">
        <v>265000</v>
      </c>
      <c r="Q30" s="546"/>
      <c r="R30" s="558" t="s">
        <v>651</v>
      </c>
      <c r="S30" s="247" t="str">
        <f t="shared" si="8"/>
        <v>Unfilled fields to left</v>
      </c>
      <c r="U30" s="21"/>
    </row>
    <row r="31" spans="2:26" s="14" customFormat="1">
      <c r="B31" s="16"/>
      <c r="C31" s="15"/>
      <c r="D31" s="183"/>
      <c r="E31" s="313"/>
      <c r="F31" s="21"/>
      <c r="G31" s="21"/>
      <c r="H31" s="20"/>
      <c r="I31" s="486"/>
      <c r="J31" s="309"/>
      <c r="K31" s="309"/>
      <c r="L31" s="247">
        <f t="shared" si="6"/>
        <v>0</v>
      </c>
      <c r="M31" s="12"/>
      <c r="N31" s="12"/>
      <c r="O31" s="12"/>
      <c r="P31" s="557"/>
      <c r="Q31" s="505"/>
      <c r="R31" s="559"/>
      <c r="S31" s="247" t="str">
        <f t="shared" si="8"/>
        <v>Unfilled fields to left</v>
      </c>
      <c r="U31" s="21"/>
    </row>
    <row r="32" spans="2:26" s="14" customFormat="1">
      <c r="B32" s="16"/>
      <c r="C32" s="15"/>
      <c r="D32" s="183"/>
      <c r="E32" s="313"/>
      <c r="F32" s="21"/>
      <c r="G32" s="21"/>
      <c r="H32" s="20"/>
      <c r="I32" s="486"/>
      <c r="J32" s="309"/>
      <c r="K32" s="309"/>
      <c r="L32" s="247">
        <f t="shared" si="6"/>
        <v>0</v>
      </c>
      <c r="M32" s="12"/>
      <c r="N32" s="12"/>
      <c r="O32" s="12"/>
      <c r="P32" s="556"/>
      <c r="Q32" s="505"/>
      <c r="R32" s="559"/>
      <c r="S32" s="247" t="str">
        <f t="shared" si="8"/>
        <v>Unfilled fields to left</v>
      </c>
      <c r="U32" s="21"/>
    </row>
    <row r="33" spans="2:22">
      <c r="C33" s="17"/>
      <c r="D33" s="17"/>
      <c r="E33" s="144"/>
      <c r="F33" s="17"/>
      <c r="H33" s="18"/>
      <c r="I33" s="18"/>
      <c r="J33" s="40"/>
      <c r="K33" s="40"/>
      <c r="L33" s="40"/>
      <c r="M33" s="12"/>
      <c r="P33" s="40"/>
      <c r="Q33" s="562"/>
      <c r="R33" s="40"/>
      <c r="S33" s="40"/>
      <c r="V33" s="12"/>
    </row>
    <row r="34" spans="2:22">
      <c r="D34" s="17"/>
      <c r="E34" s="144"/>
      <c r="J34" s="39"/>
      <c r="K34" s="39"/>
      <c r="M34" s="12"/>
      <c r="P34" s="39"/>
      <c r="Q34" s="564"/>
      <c r="R34" s="38" t="s">
        <v>641</v>
      </c>
      <c r="S34" s="157">
        <f>SUM(S7:S33)</f>
        <v>0</v>
      </c>
      <c r="V34" s="12"/>
    </row>
    <row r="35" spans="2:22">
      <c r="B35" s="149" t="s">
        <v>94</v>
      </c>
      <c r="C35" s="163"/>
      <c r="D35" s="163"/>
      <c r="E35" s="527"/>
      <c r="I35" s="12"/>
      <c r="J35" s="110"/>
      <c r="K35" s="110"/>
      <c r="L35" s="110"/>
      <c r="M35" s="12"/>
      <c r="P35" s="110"/>
      <c r="Q35" s="110"/>
      <c r="R35" s="110"/>
      <c r="V35" s="12"/>
    </row>
    <row r="36" spans="2:22">
      <c r="B36" s="16" t="s">
        <v>626</v>
      </c>
      <c r="C36" s="15" t="s">
        <v>627</v>
      </c>
      <c r="D36" s="15" t="s">
        <v>628</v>
      </c>
      <c r="E36" s="529"/>
      <c r="G36" s="19"/>
      <c r="H36" s="12"/>
      <c r="I36" s="12"/>
      <c r="J36" s="110"/>
      <c r="K36" s="110"/>
      <c r="L36" s="110"/>
      <c r="M36" s="12"/>
      <c r="P36" s="110"/>
      <c r="Q36" s="110"/>
      <c r="R36" s="110"/>
      <c r="S36" s="12"/>
      <c r="U36" s="25"/>
      <c r="V36" s="12"/>
    </row>
    <row r="37" spans="2:22">
      <c r="B37" s="16" t="s">
        <v>642</v>
      </c>
      <c r="C37" s="15" t="s">
        <v>643</v>
      </c>
      <c r="D37" s="15" t="s">
        <v>497</v>
      </c>
      <c r="E37" s="540"/>
      <c r="H37" s="12"/>
      <c r="I37" s="12"/>
      <c r="J37" s="110"/>
      <c r="K37" s="110"/>
      <c r="L37" s="110"/>
      <c r="M37" s="12"/>
      <c r="P37" s="110"/>
      <c r="Q37" s="110"/>
      <c r="R37" s="110"/>
      <c r="S37" s="12"/>
      <c r="U37" s="25"/>
      <c r="V37" s="12"/>
    </row>
    <row r="38" spans="2:22">
      <c r="B38" s="16" t="s">
        <v>654</v>
      </c>
      <c r="C38" s="15" t="s">
        <v>655</v>
      </c>
      <c r="D38" s="15" t="s">
        <v>497</v>
      </c>
      <c r="E38" s="540"/>
      <c r="J38" s="39"/>
      <c r="K38" s="39"/>
      <c r="P38" s="39"/>
      <c r="Q38" s="39"/>
      <c r="R38" s="39"/>
      <c r="U38" s="25"/>
    </row>
    <row r="39" spans="2:22">
      <c r="B39" s="16"/>
      <c r="C39" s="15"/>
      <c r="D39" s="15"/>
      <c r="E39" s="535"/>
      <c r="J39" s="39"/>
      <c r="K39" s="39"/>
      <c r="P39" s="39"/>
      <c r="Q39" s="39"/>
      <c r="R39" s="39"/>
      <c r="U39" s="25"/>
    </row>
    <row r="40" spans="2:22">
      <c r="E40" s="110"/>
      <c r="J40" s="39"/>
      <c r="K40" s="39"/>
      <c r="P40" s="39"/>
      <c r="Q40" s="39"/>
      <c r="R40" s="39"/>
    </row>
    <row r="41" spans="2:22">
      <c r="E41" s="110"/>
      <c r="J41" s="39"/>
      <c r="K41" s="39"/>
      <c r="P41" s="39"/>
      <c r="Q41" s="39"/>
      <c r="R41" s="39"/>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J122" s="39"/>
      <c r="K122" s="39"/>
      <c r="P122" s="39"/>
      <c r="Q122" s="39"/>
      <c r="R122" s="39"/>
    </row>
    <row r="123" spans="5:18">
      <c r="E123" s="110"/>
      <c r="J123" s="39"/>
      <c r="K123" s="39"/>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E147" s="110"/>
      <c r="P147" s="39"/>
      <c r="Q147" s="39"/>
      <c r="R147" s="39"/>
    </row>
    <row r="148" spans="5:18">
      <c r="E148" s="110"/>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row r="189" spans="16:18">
      <c r="P189" s="39"/>
      <c r="Q189" s="39"/>
      <c r="R189" s="39"/>
    </row>
    <row r="190" spans="16:18">
      <c r="P190" s="39"/>
      <c r="Q190" s="39"/>
      <c r="R190"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2" xr:uid="{73E139E7-384D-4529-82EB-C42A75445CC8}">
      <formula1>Flow_units</formula1>
    </dataValidation>
    <dataValidation type="custom" allowBlank="1" showInputMessage="1" showErrorMessage="1" error="Please do not change this formula" prompt="Please do not change this formula" sqref="L1:L1048576 T4 S1:S4 N1:O4 N6:O1048576 S6:S1048576 M4 R5:S5 N5:O5 P5:Q5" xr:uid="{326EA5AE-EBA4-4636-A3D2-F2F7911330D8}">
      <formula1>"Please do not change this formula"</formula1>
    </dataValidation>
  </dataValidations>
  <hyperlinks>
    <hyperlink ref="I2:J2" location="'NG Transport'!A1" display="Go to the next step of this pathway" xr:uid="{2A02F32A-0CCD-4C2E-9FEF-46F16364ABAE}"/>
    <hyperlink ref="I2:K2" location="NG_Transport!A1" display="Go to the next step of this pathway" xr:uid="{83146335-0260-4739-B1DB-6DB48BA9E911}"/>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0" id="{BCE22AF8-67F0-48BA-AC71-55A826CA55BB}">
            <xm:f>AND(Initial_questions!$E$21&lt;&gt;"Fossil Autothermal Reformer (ATR) with CCS", Initial_questions!$E$21&lt;&gt;"Fossil Steam Methane Reformer (SMR) with CCS",Initial_questions!$E$21&lt;&gt;"Fossil Partial Oxidation (POX) with CCS",Master_Switch="On")</xm:f>
            <x14:dxf>
              <font>
                <color theme="0"/>
              </font>
              <fill>
                <patternFill>
                  <bgColor theme="0"/>
                </patternFill>
              </fill>
              <border>
                <left/>
                <right/>
                <top/>
                <bottom/>
                <vertical/>
                <horizontal/>
              </border>
            </x14:dxf>
          </x14:cfRule>
          <xm:sqref>A2:XFD102</xm:sqref>
        </x14:conditionalFormatting>
        <x14:conditionalFormatting xmlns:xm="http://schemas.microsoft.com/office/excel/2006/main">
          <x14:cfRule type="expression" priority="2" id="{EEB7E19D-D89E-45C5-820B-FD530B01DAF7}">
            <xm:f>AND(Initial_questions!$E$67=Units!$G$120,Master_Switch="On")</xm:f>
            <x14:dxf>
              <font>
                <color theme="0"/>
              </font>
              <fill>
                <patternFill>
                  <bgColor theme="0"/>
                </patternFill>
              </fill>
              <border>
                <left/>
                <right/>
                <top/>
                <bottom/>
                <vertical/>
                <horizontal/>
              </border>
            </x14:dxf>
          </x14:cfRule>
          <x14:cfRule type="expression" priority="12" id="{B055A149-C709-4940-A194-981B785DD515}">
            <xm:f>AND(GHG_FOSSIL_REFORM_CCS!$D$3="Default",Master_Switch="On")</xm:f>
            <x14:dxf>
              <font>
                <color theme="0"/>
              </font>
              <fill>
                <patternFill>
                  <bgColor theme="0"/>
                </patternFill>
              </fill>
              <border>
                <left/>
                <right/>
                <top/>
                <bottom/>
              </border>
            </x14:dxf>
          </x14:cfRule>
          <xm:sqref>A4:XFD102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67691-B22C-4EAE-BAB9-62ED7F9B778E}">
  <sheetPr codeName="Sheet21">
    <tabColor theme="5"/>
  </sheetPr>
  <dimension ref="A1:Z188"/>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IF(AND(Initial_questions!$E$21&lt;&gt;"Fossil Autothermal Reformer (ATR) with CCS", Initial_questions!$E$21&lt;&gt;"Fossil Steam Methane Reformer (SMR) with CCS",Initial_questions!$E$21&lt;&gt;"Fossil Partial Oxidation (POX) with CCS",Master_Switch="On"),"User should not fill in this sheet, but switch to other non-blank GHG worksheets","")</f>
        <v>User should not fill in this sheet, but switch to other non-blank GHG worksheets</v>
      </c>
      <c r="E1" s="262"/>
    </row>
    <row r="2" spans="1:26" s="19" customFormat="1" ht="20.399999999999999" customHeight="1">
      <c r="B2" s="83" t="str">
        <f>IF(AND(GHG_FOSSIL_REFORM_CCS!$D$3="Default",Master_Switch="On"),"Default data selected for this module, move to the next step of the pathway",IF(AND(Initial_questions!$E$67=Units!$G$120,Master_Switch="On"), "OGA data used, move to the next step of the pathway",""))</f>
        <v/>
      </c>
      <c r="E2" s="262"/>
      <c r="H2" s="130"/>
      <c r="I2" s="669" t="s">
        <v>631</v>
      </c>
      <c r="J2" s="671"/>
      <c r="K2" s="672"/>
      <c r="L2" s="129"/>
      <c r="M2"/>
      <c r="P2" s="130"/>
      <c r="Q2" s="130"/>
      <c r="R2" s="130"/>
      <c r="S2" s="129"/>
      <c r="V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639</v>
      </c>
      <c r="D8" s="183" t="s">
        <v>582</v>
      </c>
      <c r="E8" s="35"/>
      <c r="F8" s="21"/>
      <c r="G8" s="21"/>
      <c r="H8" s="20"/>
      <c r="I8" s="20"/>
      <c r="J8" s="307"/>
      <c r="K8" s="309"/>
      <c r="L8" s="247">
        <f t="shared" ref="L8:L17" si="0">IF($D8="MWh/yr (LHV)",$E8,$J8*$E8/Conversion_kWh_to_MJ)</f>
        <v>0</v>
      </c>
      <c r="M8" s="12"/>
      <c r="P8" s="110"/>
      <c r="Q8" s="110"/>
      <c r="R8" s="110"/>
      <c r="S8" s="12"/>
      <c r="U8" s="24"/>
      <c r="V8" s="12"/>
    </row>
    <row r="9" spans="1:26">
      <c r="B9" s="190" t="s">
        <v>592</v>
      </c>
      <c r="C9" s="188" t="s">
        <v>633</v>
      </c>
      <c r="D9" s="183" t="s">
        <v>747</v>
      </c>
      <c r="E9" s="35"/>
      <c r="F9" s="21"/>
      <c r="G9" s="21"/>
      <c r="H9" s="20"/>
      <c r="I9" s="36"/>
      <c r="J9" s="307"/>
      <c r="K9" s="309"/>
      <c r="L9" s="247">
        <f t="shared" si="0"/>
        <v>0</v>
      </c>
      <c r="M9" s="12"/>
      <c r="P9" s="35" t="str">
        <f t="shared" ref="P9:P10" si="1">IF(B9="", "", IF(D9="MWh/yr (LHV)", "Use column to right", "Enter data here"))</f>
        <v>Use column to right</v>
      </c>
      <c r="Q9" s="307" t="e">
        <f>INDEX(Assumptions!$F$5:$AJ$5,1,MATCH(Initial_questions!$E$24,Assumptions!$F$4:$AJ$4,0))*1000/Conversion_kWh_to_MJ</f>
        <v>#N/A</v>
      </c>
      <c r="R9" s="35" t="s">
        <v>896</v>
      </c>
      <c r="S9" s="247" t="str">
        <f t="shared" ref="S9:S17" si="2">IFERROR(IF(D9="tonnes/yr", $P9*$E9/($L$20*3.6), $Q9*$E9*3.6/($L$20*3.6)), "Unfilled fields to left")</f>
        <v>Unfilled fields to left</v>
      </c>
      <c r="U9" s="25"/>
      <c r="V9" s="12"/>
    </row>
    <row r="10" spans="1:26">
      <c r="B10" s="190" t="s">
        <v>592</v>
      </c>
      <c r="C10" s="188"/>
      <c r="D10" s="183"/>
      <c r="E10" s="35"/>
      <c r="F10" s="21"/>
      <c r="G10" s="21"/>
      <c r="H10" s="20"/>
      <c r="I10" s="36"/>
      <c r="J10" s="307"/>
      <c r="K10" s="309"/>
      <c r="L10" s="247">
        <f t="shared" si="0"/>
        <v>0</v>
      </c>
      <c r="M10" s="12"/>
      <c r="P10" s="35" t="str">
        <f t="shared" si="1"/>
        <v>Enter data here</v>
      </c>
      <c r="Q10" s="35" t="str">
        <f t="shared" ref="Q10" si="3">IF(B10="", "", IF(D10="MWh/yr (LHV)", "Enter data here", "Use column to left"))</f>
        <v>Use column to left</v>
      </c>
      <c r="R10" s="35" t="s">
        <v>898</v>
      </c>
      <c r="S10" s="247" t="str">
        <f t="shared" si="2"/>
        <v>Unfilled fields to left</v>
      </c>
      <c r="U10" s="25"/>
      <c r="V10" s="12"/>
    </row>
    <row r="11" spans="1:26">
      <c r="B11" s="190" t="s">
        <v>599</v>
      </c>
      <c r="C11" s="188" t="s">
        <v>600</v>
      </c>
      <c r="D11" s="183" t="s">
        <v>582</v>
      </c>
      <c r="E11" s="35"/>
      <c r="F11" s="21"/>
      <c r="G11" s="21"/>
      <c r="H11" s="20"/>
      <c r="I11" s="36"/>
      <c r="J11" s="307"/>
      <c r="K11" s="309"/>
      <c r="L11" s="247">
        <f t="shared" si="0"/>
        <v>0</v>
      </c>
      <c r="M11" s="12"/>
      <c r="P11" s="35" t="str">
        <f t="shared" ref="P11:P17" si="4">IF(B11="", "", IF(D11="MWh/yr (LHV)", "Use column to right", "Enter data here"))</f>
        <v>Enter data here</v>
      </c>
      <c r="Q11" s="35" t="str">
        <f t="shared" ref="Q11:Q17" si="5">IF(B11="", "", IF(D11="MWh/yr (LHV)", "Enter data here", "Use column to left"))</f>
        <v>Use column to left</v>
      </c>
      <c r="R11" s="35" t="s">
        <v>898</v>
      </c>
      <c r="S11" s="247" t="str">
        <f t="shared" si="2"/>
        <v>Unfilled fields to left</v>
      </c>
      <c r="U11" s="25"/>
      <c r="V11" s="12"/>
    </row>
    <row r="12" spans="1:26">
      <c r="B12" s="190" t="s">
        <v>599</v>
      </c>
      <c r="C12" s="188" t="s">
        <v>601</v>
      </c>
      <c r="D12" s="183" t="s">
        <v>582</v>
      </c>
      <c r="E12" s="35"/>
      <c r="F12" s="21"/>
      <c r="G12" s="21"/>
      <c r="H12" s="20"/>
      <c r="I12" s="36"/>
      <c r="J12" s="307"/>
      <c r="K12" s="309"/>
      <c r="L12" s="247">
        <f t="shared" si="0"/>
        <v>0</v>
      </c>
      <c r="M12" s="12"/>
      <c r="P12" s="35" t="str">
        <f t="shared" si="4"/>
        <v>Enter data here</v>
      </c>
      <c r="Q12" s="35" t="str">
        <f t="shared" si="5"/>
        <v>Use column to left</v>
      </c>
      <c r="R12" s="35" t="s">
        <v>898</v>
      </c>
      <c r="S12" s="247" t="str">
        <f t="shared" si="2"/>
        <v>Unfilled fields to left</v>
      </c>
      <c r="U12" s="25"/>
      <c r="V12" s="12"/>
    </row>
    <row r="13" spans="1:26">
      <c r="B13" s="190" t="s">
        <v>605</v>
      </c>
      <c r="C13" s="188" t="s">
        <v>585</v>
      </c>
      <c r="D13" s="183" t="s">
        <v>582</v>
      </c>
      <c r="E13" s="35"/>
      <c r="F13" s="21"/>
      <c r="G13" s="21"/>
      <c r="H13" s="20"/>
      <c r="I13" s="36"/>
      <c r="J13" s="307"/>
      <c r="K13" s="309"/>
      <c r="L13" s="247">
        <f t="shared" si="0"/>
        <v>0</v>
      </c>
      <c r="M13" s="12"/>
      <c r="P13" s="35" t="str">
        <f t="shared" si="4"/>
        <v>Enter data here</v>
      </c>
      <c r="Q13" s="35" t="str">
        <f t="shared" si="5"/>
        <v>Use column to left</v>
      </c>
      <c r="R13" s="35" t="s">
        <v>898</v>
      </c>
      <c r="S13" s="247" t="str">
        <f t="shared" si="2"/>
        <v>Unfilled fields to left</v>
      </c>
      <c r="U13" s="25"/>
      <c r="V13" s="12"/>
    </row>
    <row r="14" spans="1:26">
      <c r="B14" s="190" t="s">
        <v>605</v>
      </c>
      <c r="C14" s="188" t="s">
        <v>635</v>
      </c>
      <c r="D14" s="183" t="s">
        <v>582</v>
      </c>
      <c r="E14" s="35"/>
      <c r="F14" s="21"/>
      <c r="G14" s="21"/>
      <c r="H14" s="20"/>
      <c r="I14" s="36"/>
      <c r="J14" s="307"/>
      <c r="K14" s="309"/>
      <c r="L14" s="247">
        <f t="shared" si="0"/>
        <v>0</v>
      </c>
      <c r="M14" s="12"/>
      <c r="P14" s="35" t="str">
        <f t="shared" si="4"/>
        <v>Enter data here</v>
      </c>
      <c r="Q14" s="35" t="str">
        <f t="shared" si="5"/>
        <v>Use column to left</v>
      </c>
      <c r="R14" s="35" t="s">
        <v>898</v>
      </c>
      <c r="S14" s="247" t="str">
        <f t="shared" si="2"/>
        <v>Unfilled fields to left</v>
      </c>
      <c r="U14" s="25"/>
      <c r="V14" s="12"/>
    </row>
    <row r="15" spans="1:26">
      <c r="B15" s="190" t="s">
        <v>636</v>
      </c>
      <c r="C15" s="188" t="s">
        <v>609</v>
      </c>
      <c r="D15" s="183" t="s">
        <v>582</v>
      </c>
      <c r="E15" s="35"/>
      <c r="F15" s="21"/>
      <c r="G15" s="21"/>
      <c r="H15" s="20"/>
      <c r="I15" s="36"/>
      <c r="J15" s="307"/>
      <c r="K15" s="309"/>
      <c r="L15" s="247">
        <f t="shared" si="0"/>
        <v>0</v>
      </c>
      <c r="M15" s="12"/>
      <c r="P15" s="35" t="str">
        <f t="shared" si="4"/>
        <v>Enter data here</v>
      </c>
      <c r="Q15" s="35" t="str">
        <f t="shared" si="5"/>
        <v>Use column to left</v>
      </c>
      <c r="R15" s="35" t="s">
        <v>898</v>
      </c>
      <c r="S15" s="247" t="str">
        <f t="shared" si="2"/>
        <v>Unfilled fields to left</v>
      </c>
      <c r="U15" s="25"/>
      <c r="V15" s="12"/>
    </row>
    <row r="16" spans="1:26">
      <c r="B16" s="190" t="s">
        <v>636</v>
      </c>
      <c r="C16" s="188"/>
      <c r="D16" s="183"/>
      <c r="E16" s="35"/>
      <c r="F16" s="21"/>
      <c r="G16" s="21"/>
      <c r="H16" s="20"/>
      <c r="I16" s="36"/>
      <c r="J16" s="307"/>
      <c r="K16" s="309"/>
      <c r="L16" s="247">
        <f t="shared" si="0"/>
        <v>0</v>
      </c>
      <c r="M16" s="12"/>
      <c r="P16" s="35" t="str">
        <f t="shared" si="4"/>
        <v>Enter data here</v>
      </c>
      <c r="Q16" s="35" t="str">
        <f t="shared" si="5"/>
        <v>Use column to left</v>
      </c>
      <c r="R16" s="35" t="s">
        <v>898</v>
      </c>
      <c r="S16" s="247" t="str">
        <f t="shared" si="2"/>
        <v>Unfilled fields to left</v>
      </c>
      <c r="U16" s="25"/>
      <c r="V16" s="12"/>
    </row>
    <row r="17" spans="2:26">
      <c r="B17" s="16"/>
      <c r="C17" s="15"/>
      <c r="D17" s="183"/>
      <c r="E17" s="35"/>
      <c r="F17" s="21"/>
      <c r="G17" s="21"/>
      <c r="H17" s="20"/>
      <c r="I17" s="36"/>
      <c r="J17" s="307"/>
      <c r="K17" s="309"/>
      <c r="L17" s="247">
        <f t="shared" si="0"/>
        <v>0</v>
      </c>
      <c r="M17" s="12"/>
      <c r="P17" s="35" t="str">
        <f t="shared" si="4"/>
        <v/>
      </c>
      <c r="Q17" s="35" t="str">
        <f t="shared" si="5"/>
        <v/>
      </c>
      <c r="R17" s="35"/>
      <c r="S17" s="247" t="str">
        <f t="shared" si="2"/>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639</v>
      </c>
      <c r="D20" s="183" t="s">
        <v>582</v>
      </c>
      <c r="E20" s="35"/>
      <c r="F20" s="21"/>
      <c r="G20" s="21"/>
      <c r="H20" s="21"/>
      <c r="I20" s="21"/>
      <c r="J20" s="307"/>
      <c r="K20" s="313"/>
      <c r="L20" s="247">
        <f t="shared" ref="L20:L31" si="6">IF($D20="MWh/yr (LHV)",$E20,$J20*$E20/Conversion_kWh_to_MJ)</f>
        <v>0</v>
      </c>
      <c r="N20" s="251" t="str">
        <f>IFERROR(L20/L8,"")</f>
        <v/>
      </c>
      <c r="O20" s="250" t="str">
        <f>IFERROR(L20/(SUM($L$20:$L$22)),"")</f>
        <v/>
      </c>
      <c r="P20" s="42"/>
      <c r="Q20" s="42"/>
      <c r="R20" s="42"/>
      <c r="S20" s="42"/>
      <c r="U20" s="21"/>
      <c r="V20" s="12"/>
    </row>
    <row r="21" spans="2:26" s="14" customFormat="1">
      <c r="B21" s="190" t="s">
        <v>583</v>
      </c>
      <c r="C21" s="188" t="s">
        <v>804</v>
      </c>
      <c r="D21" s="183" t="s">
        <v>582</v>
      </c>
      <c r="E21" s="35"/>
      <c r="F21" s="21"/>
      <c r="G21" s="21"/>
      <c r="H21" s="20"/>
      <c r="I21" s="33"/>
      <c r="J21" s="307"/>
      <c r="K21" s="309"/>
      <c r="L21" s="247">
        <f t="shared" si="6"/>
        <v>0</v>
      </c>
      <c r="M21" s="12"/>
      <c r="N21" s="12"/>
      <c r="O21" s="250" t="str">
        <f t="shared" ref="O21:O22" si="7">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6"/>
        <v>0</v>
      </c>
      <c r="M22" s="12"/>
      <c r="N22" s="12"/>
      <c r="O22" s="250" t="str">
        <f t="shared" si="7"/>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6"/>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6"/>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6"/>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6"/>
        <v>0</v>
      </c>
      <c r="M26" s="12"/>
      <c r="N26" s="12"/>
      <c r="O26" s="12"/>
      <c r="P26" s="110"/>
      <c r="Q26" s="110"/>
      <c r="R26" s="110"/>
      <c r="S26" s="12"/>
      <c r="U26" s="21"/>
    </row>
    <row r="27" spans="2:26" s="14" customFormat="1">
      <c r="B27" s="190" t="s">
        <v>611</v>
      </c>
      <c r="C27" s="188" t="s">
        <v>818</v>
      </c>
      <c r="D27" s="183" t="s">
        <v>582</v>
      </c>
      <c r="E27" s="35"/>
      <c r="F27" s="34"/>
      <c r="G27" s="21"/>
      <c r="H27" s="20"/>
      <c r="I27" s="36"/>
      <c r="J27" s="307"/>
      <c r="K27" s="309"/>
      <c r="L27" s="247">
        <f t="shared" si="6"/>
        <v>0</v>
      </c>
      <c r="M27" s="12"/>
      <c r="N27" s="12"/>
      <c r="O27" s="12"/>
      <c r="P27" s="307">
        <f>1*1000</f>
        <v>1000</v>
      </c>
      <c r="Q27" s="505"/>
      <c r="R27" s="35" t="s">
        <v>821</v>
      </c>
      <c r="S27" s="247"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6"/>
        <v>0</v>
      </c>
      <c r="M28" s="12"/>
      <c r="N28" s="12"/>
      <c r="O28" s="12"/>
      <c r="P28" s="307">
        <f>28*1000</f>
        <v>28000</v>
      </c>
      <c r="Q28" s="505"/>
      <c r="R28" s="35" t="s">
        <v>651</v>
      </c>
      <c r="S28" s="247" t="str">
        <f>IFERROR(IF(D28="tonnes/yr", $P28*$E28/($L$20*3.6), $Q28*$E28*3.6/($L$20*3.6)), "Unfilled fields to left")</f>
        <v>Unfilled fields to left</v>
      </c>
      <c r="U28" s="21"/>
    </row>
    <row r="29" spans="2:26" s="14" customFormat="1">
      <c r="B29" s="190" t="s">
        <v>640</v>
      </c>
      <c r="C29" s="188" t="s">
        <v>824</v>
      </c>
      <c r="D29" s="183" t="s">
        <v>582</v>
      </c>
      <c r="E29" s="35"/>
      <c r="F29" s="21"/>
      <c r="G29" s="21"/>
      <c r="H29" s="20"/>
      <c r="I29" s="36"/>
      <c r="J29" s="307"/>
      <c r="K29" s="309"/>
      <c r="L29" s="247">
        <f t="shared" si="6"/>
        <v>0</v>
      </c>
      <c r="M29" s="12"/>
      <c r="N29" s="12"/>
      <c r="O29" s="12"/>
      <c r="P29" s="35">
        <v>265000</v>
      </c>
      <c r="Q29" s="546"/>
      <c r="R29" s="35" t="s">
        <v>651</v>
      </c>
      <c r="S29" s="247"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6"/>
        <v>0</v>
      </c>
      <c r="M30" s="12"/>
      <c r="N30" s="12"/>
      <c r="O30" s="12"/>
      <c r="P30" s="307"/>
      <c r="Q30" s="505"/>
      <c r="R30" s="309"/>
      <c r="S30" s="247" t="str">
        <f>IFERROR(IF(D30="tonnes/yr", $P30*$E30/($L$20*3.6), $Q30*$E30*3.6/($L$20*3.6)), "Unfilled fields to left")</f>
        <v>Unfilled fields to left</v>
      </c>
      <c r="U30" s="21"/>
    </row>
    <row r="31" spans="2:26" s="14" customFormat="1">
      <c r="B31" s="16"/>
      <c r="C31" s="15"/>
      <c r="D31" s="183"/>
      <c r="E31" s="35"/>
      <c r="F31" s="21"/>
      <c r="G31" s="21"/>
      <c r="H31" s="20"/>
      <c r="I31" s="36"/>
      <c r="J31" s="307"/>
      <c r="K31" s="309"/>
      <c r="L31" s="543">
        <f t="shared" si="6"/>
        <v>0</v>
      </c>
      <c r="M31" s="12"/>
      <c r="N31" s="12"/>
      <c r="O31" s="12"/>
      <c r="P31" s="307"/>
      <c r="Q31" s="505"/>
      <c r="R31" s="309"/>
      <c r="S31" s="247"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40"/>
      <c r="V32" s="12"/>
    </row>
    <row r="33" spans="2:22">
      <c r="D33" s="17"/>
      <c r="E33" s="144"/>
      <c r="J33" s="39"/>
      <c r="K33" s="39"/>
      <c r="M33" s="12"/>
      <c r="P33" s="39"/>
      <c r="Q33" s="39"/>
      <c r="R33" s="38" t="s">
        <v>641</v>
      </c>
      <c r="S33" s="157">
        <f>SUM(S7:S32)</f>
        <v>0</v>
      </c>
      <c r="V33" s="12"/>
    </row>
    <row r="34" spans="2:22">
      <c r="B34" s="149" t="s">
        <v>94</v>
      </c>
      <c r="C34" s="163"/>
      <c r="D34" s="163"/>
      <c r="E34" s="527"/>
      <c r="I34" s="12"/>
      <c r="J34" s="110"/>
      <c r="K34" s="110"/>
      <c r="L34" s="110"/>
      <c r="M34" s="12"/>
      <c r="P34" s="110"/>
      <c r="Q34" s="110"/>
      <c r="R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t="s">
        <v>709</v>
      </c>
      <c r="C36" s="15" t="s">
        <v>710</v>
      </c>
      <c r="D36" s="15" t="s">
        <v>222</v>
      </c>
      <c r="E36" s="529"/>
      <c r="H36" s="12"/>
      <c r="I36" s="12"/>
      <c r="J36" s="110"/>
      <c r="K36" s="110"/>
      <c r="L36" s="110"/>
      <c r="M36" s="12"/>
      <c r="P36" s="110"/>
      <c r="Q36" s="110"/>
      <c r="R36" s="110"/>
      <c r="S36" s="12"/>
      <c r="U36" s="25"/>
      <c r="V36" s="12"/>
    </row>
    <row r="37" spans="2:22">
      <c r="B37" s="16"/>
      <c r="C37" s="15"/>
      <c r="D37" s="15"/>
      <c r="E37" s="535"/>
      <c r="J37" s="39"/>
      <c r="K37" s="39"/>
      <c r="P37" s="39"/>
      <c r="Q37" s="39"/>
      <c r="R37" s="39"/>
      <c r="U37" s="25"/>
    </row>
    <row r="38" spans="2:22">
      <c r="B38" s="16"/>
      <c r="C38" s="15"/>
      <c r="D38" s="15"/>
      <c r="E38" s="535"/>
      <c r="J38" s="39"/>
      <c r="K38" s="39"/>
      <c r="P38" s="39"/>
      <c r="Q38" s="39"/>
      <c r="R38" s="39"/>
      <c r="U38" s="25"/>
    </row>
    <row r="39" spans="2:22">
      <c r="E39" s="110"/>
      <c r="J39" s="39"/>
      <c r="K39" s="39"/>
      <c r="P39" s="39"/>
      <c r="Q39" s="39"/>
      <c r="R39" s="39"/>
    </row>
    <row r="40" spans="2:22">
      <c r="E40" s="110"/>
      <c r="J40" s="39"/>
      <c r="K40" s="39"/>
      <c r="P40" s="39"/>
      <c r="Q40" s="39"/>
      <c r="R40" s="39"/>
    </row>
    <row r="41" spans="2:22">
      <c r="E41" s="110"/>
      <c r="J41" s="39"/>
      <c r="K41" s="39"/>
      <c r="P41" s="39"/>
      <c r="Q41" s="39"/>
      <c r="R41" s="39"/>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1" xr:uid="{9F35EDD0-6B20-4F98-AF9C-C506DD99BB57}">
      <formula1>Flow_units</formula1>
    </dataValidation>
    <dataValidation type="custom" allowBlank="1" showInputMessage="1" showErrorMessage="1" error="Please do not change this formula" prompt="Please do not change this formula" sqref="S6:S1048576 T4 N6:O1048576 M4 N1:O4 S1:S4 L1:L4 L6:L1048576 L5:S5" xr:uid="{102F1B4D-A629-4DE8-A46B-B91CB5A9969D}">
      <formula1>"Please do not change this formula"</formula1>
    </dataValidation>
  </dataValidations>
  <hyperlinks>
    <hyperlink ref="I2:J2" location="'NG Processing'!A1" display="Go to the next step of this pathway" xr:uid="{EB96EBCB-8A0E-4F0A-AD31-536E3335A81E}"/>
    <hyperlink ref="I2:K2" location="NG_Processing!A1" display="Go to the next step of this pathway" xr:uid="{D53E1D65-C510-435E-9AE2-EF3296ED17BF}"/>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0" id="{BB4574A2-4607-425D-8DA6-F3B147428D5B}">
            <xm:f>AND(Initial_questions!$E$21&lt;&gt;"Fossil Autothermal Reformer (ATR) with CCS", Initial_questions!$E$21&lt;&gt;"Fossil Steam Methane Reformer (SMR) with CCS",Initial_questions!$E$21&lt;&gt;"Fossil Partial Oxidation (POX) with CCS",Master_Switch="On")</xm:f>
            <x14:dxf>
              <font>
                <color theme="0"/>
              </font>
              <fill>
                <patternFill>
                  <fgColor theme="0"/>
                  <bgColor theme="0"/>
                </patternFill>
              </fill>
              <border>
                <left/>
                <right/>
                <top/>
                <bottom/>
                <vertical/>
                <horizontal/>
              </border>
            </x14:dxf>
          </x14:cfRule>
          <xm:sqref>A2:XFD100</xm:sqref>
        </x14:conditionalFormatting>
        <x14:conditionalFormatting xmlns:xm="http://schemas.microsoft.com/office/excel/2006/main">
          <x14:cfRule type="expression" priority="3" id="{2DB49396-16F6-4567-BFC1-7B9D38C5760E}">
            <xm:f>AND(Initial_questions!$E$67=Units!$G$120,Master_Switch="On")</xm:f>
            <x14:dxf>
              <font>
                <color theme="0"/>
              </font>
              <fill>
                <patternFill>
                  <bgColor theme="0"/>
                </patternFill>
              </fill>
              <border>
                <left/>
                <right/>
                <top/>
                <bottom/>
                <vertical/>
                <horizontal/>
              </border>
            </x14:dxf>
          </x14:cfRule>
          <x14:cfRule type="expression" priority="9" id="{73915850-E6A6-43BB-B84E-578347A2FD19}">
            <xm:f>AND(GHG_FOSSIL_REFORM_CCS!$D$3="Default",Master_Switch="On")</xm:f>
            <x14:dxf>
              <font>
                <color theme="0"/>
              </font>
              <fill>
                <patternFill>
                  <bgColor theme="0" tint="-4.9989318521683403E-2"/>
                </patternFill>
              </fill>
              <border>
                <left/>
                <right/>
                <top/>
                <bottom/>
              </border>
            </x14:dxf>
          </x14:cfRule>
          <xm:sqref>A4:XFD100</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DA012-F37D-469D-BE81-578411833C01}">
  <sheetPr codeName="Sheet22">
    <tabColor theme="5"/>
  </sheetPr>
  <dimension ref="A1:Z189"/>
  <sheetViews>
    <sheetView showGridLines="0" zoomScaleNormal="100" workbookViewId="0">
      <pane xSplit="3" ySplit="5" topLeftCell="D6" activePane="bottomRight" state="frozen"/>
      <selection activeCell="E21" sqref="E21"/>
      <selection pane="topRight" activeCell="E21" sqref="E21"/>
      <selection pane="bottomLeft" activeCell="E21" sqref="E21"/>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IF(AND(Initial_questions!$E$21&lt;&gt;"Fossil Autothermal Reformer (ATR) with CCS", Initial_questions!$E$21&lt;&gt;"Fossil Steam Methane Reformer (SMR) with CCS",Initial_questions!$E$21&lt;&gt;"Fossil Partial Oxidation (POX) with CCS",Master_Switch="On"),"User should not fill in this sheet, but switch to other non-blank GHG worksheets","")</f>
        <v>User should not fill in this sheet, but switch to other non-blank GHG worksheets</v>
      </c>
      <c r="E1" s="262"/>
    </row>
    <row r="2" spans="1:26" ht="20.399999999999999" customHeight="1">
      <c r="B2" s="83" t="str">
        <f>IF(AND(GHG_FOSSIL_REFORM_CCS!$D$3="Default",Master_Switch="On"),"Default data selected for this module, move to the next step of the pathway",IF(AND(Initial_questions!$E$67=Units!$G$120,Master_Switch="On"), "OGA data used, move to the next step of the pathway",""))</f>
        <v/>
      </c>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639</v>
      </c>
      <c r="D8" s="183" t="s">
        <v>582</v>
      </c>
      <c r="E8" s="35"/>
      <c r="F8" s="21"/>
      <c r="G8" s="21"/>
      <c r="H8" s="20"/>
      <c r="I8" s="20"/>
      <c r="J8" s="307"/>
      <c r="K8" s="309"/>
      <c r="L8" s="247">
        <f t="shared" ref="L8:L17" si="0">IF($D8="MWh/yr (LHV)",$E8,$J8*$E8/Conversion_kWh_to_MJ)</f>
        <v>0</v>
      </c>
      <c r="M8" s="12"/>
      <c r="P8" s="110"/>
      <c r="Q8" s="110"/>
      <c r="R8" s="110"/>
      <c r="S8" s="12"/>
      <c r="U8" s="24"/>
      <c r="V8" s="12"/>
    </row>
    <row r="9" spans="1:26">
      <c r="B9" s="190" t="s">
        <v>592</v>
      </c>
      <c r="C9" s="188" t="s">
        <v>646</v>
      </c>
      <c r="D9" s="183" t="s">
        <v>747</v>
      </c>
      <c r="E9" s="35"/>
      <c r="F9" s="21"/>
      <c r="G9" s="21"/>
      <c r="H9" s="20"/>
      <c r="I9" s="36"/>
      <c r="J9" s="307"/>
      <c r="K9" s="309"/>
      <c r="L9" s="247">
        <f t="shared" si="0"/>
        <v>0</v>
      </c>
      <c r="M9" s="12"/>
      <c r="P9" s="35" t="str">
        <f t="shared" ref="P9:P10" si="1">IF(B9="", "", IF(D9="MWh/yr (LHV)", "Use column to right", "Enter data here"))</f>
        <v>Use column to right</v>
      </c>
      <c r="Q9" s="307" t="e">
        <f>INDEX(Assumptions!$F$5:$AJ$5,1,MATCH(Initial_questions!$E$24,Assumptions!$F$4:$AJ$4,0))*1000/Conversion_kWh_to_MJ</f>
        <v>#N/A</v>
      </c>
      <c r="R9" s="35" t="s">
        <v>896</v>
      </c>
      <c r="S9" s="247" t="str">
        <f t="shared" ref="S9:S17" si="2">IFERROR(IF(D9="tonnes/yr", $P9*$E9/($L$20*3.6), $Q9*$E9*3.6/($L$20*3.6)), "Unfilled fields to left")</f>
        <v>Unfilled fields to left</v>
      </c>
      <c r="U9" s="25"/>
      <c r="V9" s="12"/>
    </row>
    <row r="10" spans="1:26">
      <c r="B10" s="190" t="s">
        <v>592</v>
      </c>
      <c r="C10" s="188"/>
      <c r="D10" s="183"/>
      <c r="E10" s="35"/>
      <c r="F10" s="21"/>
      <c r="G10" s="21"/>
      <c r="H10" s="20"/>
      <c r="I10" s="36"/>
      <c r="J10" s="307"/>
      <c r="K10" s="309"/>
      <c r="L10" s="247">
        <f t="shared" si="0"/>
        <v>0</v>
      </c>
      <c r="M10" s="12"/>
      <c r="P10" s="35" t="str">
        <f t="shared" si="1"/>
        <v>Enter data here</v>
      </c>
      <c r="Q10" s="35" t="str">
        <f t="shared" ref="Q10" si="3">IF(B10="", "", IF(D10="MWh/yr (LHV)", "Enter data here", "Use column to left"))</f>
        <v>Use column to left</v>
      </c>
      <c r="R10" s="35" t="s">
        <v>898</v>
      </c>
      <c r="S10" s="247" t="str">
        <f t="shared" si="2"/>
        <v>Unfilled fields to left</v>
      </c>
      <c r="U10" s="25"/>
      <c r="V10" s="12"/>
    </row>
    <row r="11" spans="1:26">
      <c r="B11" s="190" t="s">
        <v>599</v>
      </c>
      <c r="C11" s="188" t="s">
        <v>600</v>
      </c>
      <c r="D11" s="183" t="s">
        <v>582</v>
      </c>
      <c r="E11" s="35"/>
      <c r="F11" s="21"/>
      <c r="G11" s="21"/>
      <c r="H11" s="20"/>
      <c r="I11" s="36"/>
      <c r="J11" s="307"/>
      <c r="K11" s="309"/>
      <c r="L11" s="247">
        <f t="shared" si="0"/>
        <v>0</v>
      </c>
      <c r="M11" s="12"/>
      <c r="P11" s="35" t="str">
        <f t="shared" ref="P11:P17" si="4">IF(B11="", "", IF(D11="MWh/yr (LHV)", "Use column to right", "Enter data here"))</f>
        <v>Enter data here</v>
      </c>
      <c r="Q11" s="35" t="str">
        <f t="shared" ref="Q11:Q17" si="5">IF(B11="", "", IF(D11="MWh/yr (LHV)", "Enter data here", "Use column to left"))</f>
        <v>Use column to left</v>
      </c>
      <c r="R11" s="35" t="s">
        <v>898</v>
      </c>
      <c r="S11" s="247" t="str">
        <f t="shared" si="2"/>
        <v>Unfilled fields to left</v>
      </c>
      <c r="U11" s="25"/>
      <c r="V11" s="12"/>
    </row>
    <row r="12" spans="1:26">
      <c r="B12" s="190" t="s">
        <v>599</v>
      </c>
      <c r="C12" s="188" t="s">
        <v>601</v>
      </c>
      <c r="D12" s="183" t="s">
        <v>582</v>
      </c>
      <c r="E12" s="35"/>
      <c r="F12" s="21"/>
      <c r="G12" s="21"/>
      <c r="H12" s="20"/>
      <c r="I12" s="36"/>
      <c r="J12" s="307"/>
      <c r="K12" s="309"/>
      <c r="L12" s="247">
        <f t="shared" si="0"/>
        <v>0</v>
      </c>
      <c r="M12" s="12"/>
      <c r="P12" s="35" t="str">
        <f t="shared" si="4"/>
        <v>Enter data here</v>
      </c>
      <c r="Q12" s="35" t="str">
        <f t="shared" si="5"/>
        <v>Use column to left</v>
      </c>
      <c r="R12" s="35" t="s">
        <v>898</v>
      </c>
      <c r="S12" s="247" t="str">
        <f t="shared" si="2"/>
        <v>Unfilled fields to left</v>
      </c>
      <c r="U12" s="25"/>
      <c r="V12" s="12"/>
    </row>
    <row r="13" spans="1:26">
      <c r="B13" s="190" t="s">
        <v>605</v>
      </c>
      <c r="C13" s="188" t="s">
        <v>585</v>
      </c>
      <c r="D13" s="183" t="s">
        <v>582</v>
      </c>
      <c r="E13" s="35"/>
      <c r="F13" s="21"/>
      <c r="G13" s="21"/>
      <c r="H13" s="20"/>
      <c r="I13" s="36"/>
      <c r="J13" s="307"/>
      <c r="K13" s="309"/>
      <c r="L13" s="247">
        <f t="shared" si="0"/>
        <v>0</v>
      </c>
      <c r="M13" s="12"/>
      <c r="P13" s="35" t="str">
        <f t="shared" si="4"/>
        <v>Enter data here</v>
      </c>
      <c r="Q13" s="35" t="str">
        <f t="shared" si="5"/>
        <v>Use column to left</v>
      </c>
      <c r="R13" s="35" t="s">
        <v>898</v>
      </c>
      <c r="S13" s="247" t="str">
        <f t="shared" si="2"/>
        <v>Unfilled fields to left</v>
      </c>
      <c r="U13" s="25"/>
      <c r="V13" s="12"/>
    </row>
    <row r="14" spans="1:26">
      <c r="B14" s="190" t="s">
        <v>605</v>
      </c>
      <c r="C14" s="188" t="s">
        <v>635</v>
      </c>
      <c r="D14" s="183" t="s">
        <v>582</v>
      </c>
      <c r="E14" s="35"/>
      <c r="F14" s="21"/>
      <c r="G14" s="21"/>
      <c r="H14" s="20"/>
      <c r="I14" s="36"/>
      <c r="J14" s="307"/>
      <c r="K14" s="309"/>
      <c r="L14" s="247">
        <f t="shared" si="0"/>
        <v>0</v>
      </c>
      <c r="M14" s="12"/>
      <c r="P14" s="35" t="str">
        <f t="shared" si="4"/>
        <v>Enter data here</v>
      </c>
      <c r="Q14" s="35" t="str">
        <f t="shared" si="5"/>
        <v>Use column to left</v>
      </c>
      <c r="R14" s="35" t="s">
        <v>898</v>
      </c>
      <c r="S14" s="247" t="str">
        <f t="shared" si="2"/>
        <v>Unfilled fields to left</v>
      </c>
      <c r="U14" s="25"/>
      <c r="V14" s="12"/>
    </row>
    <row r="15" spans="1:26">
      <c r="B15" s="190" t="s">
        <v>636</v>
      </c>
      <c r="C15" s="188" t="s">
        <v>609</v>
      </c>
      <c r="D15" s="183" t="s">
        <v>582</v>
      </c>
      <c r="E15" s="35"/>
      <c r="F15" s="21"/>
      <c r="G15" s="21"/>
      <c r="H15" s="20"/>
      <c r="I15" s="36"/>
      <c r="J15" s="307"/>
      <c r="K15" s="309"/>
      <c r="L15" s="247">
        <f t="shared" si="0"/>
        <v>0</v>
      </c>
      <c r="M15" s="12"/>
      <c r="P15" s="35" t="str">
        <f t="shared" si="4"/>
        <v>Enter data here</v>
      </c>
      <c r="Q15" s="35" t="str">
        <f t="shared" si="5"/>
        <v>Use column to left</v>
      </c>
      <c r="R15" s="35" t="s">
        <v>898</v>
      </c>
      <c r="S15" s="247" t="str">
        <f t="shared" si="2"/>
        <v>Unfilled fields to left</v>
      </c>
      <c r="U15" s="25"/>
      <c r="V15" s="12"/>
    </row>
    <row r="16" spans="1:26">
      <c r="B16" s="190" t="s">
        <v>636</v>
      </c>
      <c r="C16" s="188"/>
      <c r="D16" s="183"/>
      <c r="E16" s="35"/>
      <c r="F16" s="21"/>
      <c r="G16" s="21"/>
      <c r="H16" s="20"/>
      <c r="I16" s="36"/>
      <c r="J16" s="307"/>
      <c r="K16" s="309"/>
      <c r="L16" s="247">
        <f t="shared" si="0"/>
        <v>0</v>
      </c>
      <c r="M16" s="12"/>
      <c r="P16" s="35" t="str">
        <f t="shared" si="4"/>
        <v>Enter data here</v>
      </c>
      <c r="Q16" s="35" t="str">
        <f t="shared" si="5"/>
        <v>Use column to left</v>
      </c>
      <c r="R16" s="35" t="s">
        <v>898</v>
      </c>
      <c r="S16" s="247" t="str">
        <f t="shared" si="2"/>
        <v>Unfilled fields to left</v>
      </c>
      <c r="U16" s="25"/>
      <c r="V16" s="12"/>
    </row>
    <row r="17" spans="2:26">
      <c r="B17" s="16"/>
      <c r="C17" s="15"/>
      <c r="D17" s="183"/>
      <c r="E17" s="35"/>
      <c r="F17" s="21"/>
      <c r="G17" s="21"/>
      <c r="H17" s="20"/>
      <c r="I17" s="36"/>
      <c r="J17" s="307"/>
      <c r="K17" s="309"/>
      <c r="L17" s="247">
        <f t="shared" si="0"/>
        <v>0</v>
      </c>
      <c r="M17" s="12"/>
      <c r="P17" s="35" t="str">
        <f t="shared" si="4"/>
        <v/>
      </c>
      <c r="Q17" s="35" t="str">
        <f t="shared" si="5"/>
        <v/>
      </c>
      <c r="R17" s="35"/>
      <c r="S17" s="247" t="str">
        <f t="shared" si="2"/>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639</v>
      </c>
      <c r="D20" s="183" t="s">
        <v>582</v>
      </c>
      <c r="E20" s="35"/>
      <c r="F20" s="21"/>
      <c r="G20" s="21"/>
      <c r="H20" s="21"/>
      <c r="I20" s="21"/>
      <c r="J20" s="307"/>
      <c r="K20" s="313"/>
      <c r="L20" s="247">
        <f t="shared" ref="L20:L32" si="6">IF($D20="MWh/yr (LHV)",$E20,$J20*$E20/Conversion_kWh_to_MJ)</f>
        <v>0</v>
      </c>
      <c r="N20" s="251" t="str">
        <f>IFERROR(L20/L8,"")</f>
        <v/>
      </c>
      <c r="O20" s="250" t="str">
        <f>IFERROR(L20/(SUM($L$20:$L$22)),"")</f>
        <v/>
      </c>
      <c r="P20" s="42"/>
      <c r="Q20" s="42"/>
      <c r="R20" s="42"/>
      <c r="S20" s="42"/>
      <c r="U20" s="21"/>
      <c r="V20" s="12"/>
    </row>
    <row r="21" spans="2:26" s="14" customFormat="1">
      <c r="B21" s="190" t="s">
        <v>583</v>
      </c>
      <c r="C21" s="188" t="s">
        <v>804</v>
      </c>
      <c r="D21" s="183" t="s">
        <v>582</v>
      </c>
      <c r="E21" s="35"/>
      <c r="F21" s="21"/>
      <c r="G21" s="21"/>
      <c r="H21" s="20"/>
      <c r="I21" s="33"/>
      <c r="J21" s="307"/>
      <c r="K21" s="309"/>
      <c r="L21" s="247">
        <f t="shared" si="6"/>
        <v>0</v>
      </c>
      <c r="M21" s="12"/>
      <c r="N21" s="12"/>
      <c r="O21" s="250" t="str">
        <f t="shared" ref="O21:O22" si="7">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6"/>
        <v>0</v>
      </c>
      <c r="M22" s="12"/>
      <c r="N22" s="12"/>
      <c r="O22" s="250" t="str">
        <f t="shared" si="7"/>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6"/>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6"/>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6"/>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6"/>
        <v>0</v>
      </c>
      <c r="M26" s="12"/>
      <c r="N26" s="12"/>
      <c r="O26" s="12"/>
      <c r="P26" s="110"/>
      <c r="Q26" s="110"/>
      <c r="R26" s="110"/>
      <c r="S26" s="12"/>
      <c r="U26" s="21"/>
    </row>
    <row r="27" spans="2:26" s="14" customFormat="1">
      <c r="B27" s="190" t="s">
        <v>611</v>
      </c>
      <c r="C27" s="188" t="s">
        <v>815</v>
      </c>
      <c r="D27" s="183" t="s">
        <v>582</v>
      </c>
      <c r="E27" s="35"/>
      <c r="F27" s="34"/>
      <c r="G27" s="21"/>
      <c r="H27" s="20"/>
      <c r="I27" s="36"/>
      <c r="J27" s="307"/>
      <c r="K27" s="309"/>
      <c r="L27" s="247">
        <f t="shared" si="6"/>
        <v>0</v>
      </c>
      <c r="M27" s="12"/>
      <c r="N27" s="12"/>
      <c r="O27" s="12"/>
      <c r="P27" s="307">
        <v>1000</v>
      </c>
      <c r="Q27" s="505"/>
      <c r="R27" s="35" t="s">
        <v>814</v>
      </c>
      <c r="S27" s="247" t="str">
        <f t="shared" ref="S27:S32" si="8">IFERROR(IF(D27="tonnes/yr", $P27*$E27/($L$20*3.6), $Q27*$E27*3.6/($L$20*3.6)), "Unfilled fields to left")</f>
        <v>Unfilled fields to left</v>
      </c>
      <c r="U27" s="21"/>
    </row>
    <row r="28" spans="2:26" s="14" customFormat="1">
      <c r="B28" s="190" t="s">
        <v>811</v>
      </c>
      <c r="C28" s="188" t="s">
        <v>832</v>
      </c>
      <c r="D28" s="183" t="s">
        <v>582</v>
      </c>
      <c r="E28" s="35">
        <f>E27*E37*(1-E38)</f>
        <v>0</v>
      </c>
      <c r="F28" s="34"/>
      <c r="G28" s="21"/>
      <c r="H28" s="20"/>
      <c r="I28" s="36"/>
      <c r="J28" s="307"/>
      <c r="K28" s="309"/>
      <c r="L28" s="247">
        <f t="shared" si="6"/>
        <v>0</v>
      </c>
      <c r="M28" s="12"/>
      <c r="N28" s="12"/>
      <c r="O28" s="12"/>
      <c r="P28" s="307">
        <v>-1000</v>
      </c>
      <c r="Q28" s="505"/>
      <c r="R28" s="35" t="s">
        <v>817</v>
      </c>
      <c r="S28" s="247" t="str">
        <f t="shared" si="8"/>
        <v>Unfilled fields to left</v>
      </c>
      <c r="U28" s="21"/>
    </row>
    <row r="29" spans="2:26" s="14" customFormat="1">
      <c r="B29" s="190" t="s">
        <v>640</v>
      </c>
      <c r="C29" s="188" t="s">
        <v>823</v>
      </c>
      <c r="D29" s="183" t="s">
        <v>582</v>
      </c>
      <c r="E29" s="35"/>
      <c r="F29" s="34"/>
      <c r="G29" s="21"/>
      <c r="H29" s="20"/>
      <c r="I29" s="36"/>
      <c r="J29" s="307"/>
      <c r="K29" s="309"/>
      <c r="L29" s="247">
        <f t="shared" si="6"/>
        <v>0</v>
      </c>
      <c r="M29" s="12"/>
      <c r="N29" s="12"/>
      <c r="O29" s="12"/>
      <c r="P29" s="307">
        <f>28*1000</f>
        <v>28000</v>
      </c>
      <c r="Q29" s="505"/>
      <c r="R29" s="35" t="s">
        <v>651</v>
      </c>
      <c r="S29" s="247" t="str">
        <f t="shared" si="8"/>
        <v>Unfilled fields to left</v>
      </c>
      <c r="U29" s="21"/>
    </row>
    <row r="30" spans="2:26" s="14" customFormat="1">
      <c r="B30" s="190" t="s">
        <v>640</v>
      </c>
      <c r="C30" s="188" t="s">
        <v>824</v>
      </c>
      <c r="D30" s="183" t="s">
        <v>582</v>
      </c>
      <c r="E30" s="35"/>
      <c r="F30" s="21"/>
      <c r="G30" s="21"/>
      <c r="H30" s="20"/>
      <c r="I30" s="36"/>
      <c r="J30" s="307"/>
      <c r="K30" s="309"/>
      <c r="L30" s="247">
        <f t="shared" si="6"/>
        <v>0</v>
      </c>
      <c r="M30" s="12"/>
      <c r="N30" s="12"/>
      <c r="O30" s="12"/>
      <c r="P30" s="35">
        <v>265000</v>
      </c>
      <c r="Q30" s="546"/>
      <c r="R30" s="35" t="s">
        <v>651</v>
      </c>
      <c r="S30" s="247" t="str">
        <f t="shared" si="8"/>
        <v>Unfilled fields to left</v>
      </c>
      <c r="U30" s="21"/>
    </row>
    <row r="31" spans="2:26" s="14" customFormat="1">
      <c r="B31" s="16"/>
      <c r="C31" s="15"/>
      <c r="D31" s="183"/>
      <c r="E31" s="35"/>
      <c r="F31" s="21"/>
      <c r="G31" s="21"/>
      <c r="H31" s="20"/>
      <c r="I31" s="36"/>
      <c r="J31" s="307"/>
      <c r="K31" s="309"/>
      <c r="L31" s="247">
        <f t="shared" si="6"/>
        <v>0</v>
      </c>
      <c r="M31" s="12"/>
      <c r="N31" s="12"/>
      <c r="O31" s="12"/>
      <c r="P31" s="307"/>
      <c r="Q31" s="505"/>
      <c r="R31" s="309"/>
      <c r="S31" s="247" t="str">
        <f t="shared" si="8"/>
        <v>Unfilled fields to left</v>
      </c>
      <c r="U31" s="21"/>
    </row>
    <row r="32" spans="2:26" s="14" customFormat="1">
      <c r="B32" s="16"/>
      <c r="C32" s="15"/>
      <c r="D32" s="183"/>
      <c r="E32" s="35"/>
      <c r="F32" s="21"/>
      <c r="G32" s="21"/>
      <c r="H32" s="20"/>
      <c r="I32" s="36"/>
      <c r="J32" s="307"/>
      <c r="K32" s="309"/>
      <c r="L32" s="247">
        <f t="shared" si="6"/>
        <v>0</v>
      </c>
      <c r="M32" s="12"/>
      <c r="N32" s="12"/>
      <c r="O32" s="12"/>
      <c r="P32" s="307"/>
      <c r="Q32" s="505"/>
      <c r="R32" s="309"/>
      <c r="S32" s="247" t="str">
        <f t="shared" si="8"/>
        <v>Unfilled fields to left</v>
      </c>
      <c r="U32" s="21"/>
    </row>
    <row r="33" spans="2:22">
      <c r="C33" s="17"/>
      <c r="D33" s="17"/>
      <c r="E33" s="144"/>
      <c r="F33" s="17"/>
      <c r="H33" s="18"/>
      <c r="I33" s="18"/>
      <c r="J33" s="40"/>
      <c r="K33" s="40"/>
      <c r="L33" s="40"/>
      <c r="M33" s="12"/>
      <c r="P33" s="40"/>
      <c r="Q33" s="40"/>
      <c r="R33" s="40"/>
      <c r="S33" s="40"/>
      <c r="V33" s="12"/>
    </row>
    <row r="34" spans="2:22">
      <c r="D34" s="17"/>
      <c r="E34" s="144"/>
      <c r="J34" s="39"/>
      <c r="K34" s="39"/>
      <c r="M34" s="12"/>
      <c r="P34" s="39"/>
      <c r="Q34" s="39"/>
      <c r="R34" s="38" t="s">
        <v>641</v>
      </c>
      <c r="S34" s="157">
        <f>SUM(S7:S33)</f>
        <v>0</v>
      </c>
      <c r="V34" s="12"/>
    </row>
    <row r="35" spans="2:22">
      <c r="B35" s="149" t="s">
        <v>94</v>
      </c>
      <c r="C35" s="163"/>
      <c r="D35" s="163"/>
      <c r="E35" s="527"/>
      <c r="I35" s="12"/>
      <c r="J35" s="110"/>
      <c r="K35" s="110"/>
      <c r="L35" s="110"/>
      <c r="M35" s="12"/>
      <c r="P35" s="110"/>
      <c r="Q35" s="110"/>
      <c r="R35" s="110"/>
      <c r="V35" s="12"/>
    </row>
    <row r="36" spans="2:22">
      <c r="B36" s="16" t="s">
        <v>626</v>
      </c>
      <c r="C36" s="15" t="s">
        <v>627</v>
      </c>
      <c r="D36" s="15" t="s">
        <v>628</v>
      </c>
      <c r="E36" s="529"/>
      <c r="G36" s="19"/>
      <c r="H36" s="12"/>
      <c r="I36" s="12"/>
      <c r="J36" s="110"/>
      <c r="K36" s="110"/>
      <c r="L36" s="110"/>
      <c r="M36" s="12"/>
      <c r="P36" s="110"/>
      <c r="Q36" s="110"/>
      <c r="R36" s="110"/>
      <c r="S36" s="12"/>
      <c r="U36" s="25"/>
      <c r="V36" s="12"/>
    </row>
    <row r="37" spans="2:22">
      <c r="B37" s="16" t="s">
        <v>642</v>
      </c>
      <c r="C37" s="15" t="s">
        <v>643</v>
      </c>
      <c r="D37" s="15" t="s">
        <v>497</v>
      </c>
      <c r="E37" s="540"/>
      <c r="H37" s="12"/>
      <c r="I37" s="12"/>
      <c r="J37" s="110"/>
      <c r="K37" s="110"/>
      <c r="L37" s="110"/>
      <c r="M37" s="12"/>
      <c r="P37" s="110"/>
      <c r="Q37" s="110"/>
      <c r="R37" s="110"/>
      <c r="S37" s="12"/>
      <c r="U37" s="25"/>
      <c r="V37" s="12"/>
    </row>
    <row r="38" spans="2:22">
      <c r="B38" s="16" t="s">
        <v>654</v>
      </c>
      <c r="C38" s="15" t="s">
        <v>655</v>
      </c>
      <c r="D38" s="15" t="s">
        <v>497</v>
      </c>
      <c r="E38" s="540"/>
      <c r="J38" s="39"/>
      <c r="K38" s="39"/>
      <c r="P38" s="39"/>
      <c r="Q38" s="39"/>
      <c r="R38" s="39"/>
      <c r="U38" s="25"/>
    </row>
    <row r="39" spans="2:22">
      <c r="B39" s="16"/>
      <c r="C39" s="15"/>
      <c r="D39" s="15"/>
      <c r="E39" s="535"/>
      <c r="J39" s="39"/>
      <c r="K39" s="39"/>
      <c r="P39" s="39"/>
      <c r="Q39" s="39"/>
      <c r="R39" s="39"/>
      <c r="U39" s="25"/>
    </row>
    <row r="40" spans="2:22">
      <c r="E40" s="110"/>
      <c r="J40" s="39"/>
      <c r="K40" s="39"/>
      <c r="P40" s="39"/>
      <c r="Q40" s="39"/>
      <c r="R40" s="39"/>
    </row>
    <row r="41" spans="2:22">
      <c r="E41" s="110"/>
      <c r="J41" s="39"/>
      <c r="K41" s="39"/>
      <c r="P41" s="39"/>
      <c r="Q41" s="39"/>
      <c r="R41" s="39"/>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J122" s="39"/>
      <c r="K122" s="39"/>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E147" s="110"/>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row r="189" spans="16:18">
      <c r="P189" s="39"/>
      <c r="Q189" s="39"/>
      <c r="R189"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2" xr:uid="{B4091724-DB3C-40AE-8136-7E3F4BF7E8DF}">
      <formula1>Flow_units</formula1>
    </dataValidation>
    <dataValidation type="custom" allowBlank="1" showInputMessage="1" showErrorMessage="1" error="Please do not change this formula" prompt="Please do not change this formula" sqref="T4 S6:S1048576 L1:L1048576 M4 S1:S4 N1:O4 N6:O1048576 N5:S5" xr:uid="{B7EB62FE-45E3-43D4-85EF-AB9EA7F01344}">
      <formula1>"Please do not change this formula"</formula1>
    </dataValidation>
  </dataValidations>
  <hyperlinks>
    <hyperlink ref="I2:J2" location="'NG Further Transport'!A1" display="Go to the next step of this pathway" xr:uid="{5A5692F4-F81E-4C96-B615-6ED4D2644601}"/>
    <hyperlink ref="I2:K2" location="NG_Further_Transport!A1" display="Go to the next step of this pathway" xr:uid="{0B118A1A-C0E2-404E-9574-44CC0A9A162D}"/>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0" id="{7FFBE518-3E73-4E43-8AAE-3D3DB8CF1FB1}">
            <xm:f>AND(Initial_questions!$E$21&lt;&gt;"Fossil Autothermal Reformer (ATR) with CCS", Initial_questions!$E$21&lt;&gt;"Fossil Steam Methane Reformer (SMR) with CCS",Initial_questions!$E$21&lt;&gt;"Fossil Partial Oxidation (POX) with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4" id="{C6C35D21-9C1E-4076-99CB-C3CB83ABCB90}">
            <xm:f>AND(Initial_questions!$E$67=Units!$G$120,Master_Switch="On")</xm:f>
            <x14:dxf>
              <font>
                <color theme="0"/>
              </font>
              <fill>
                <patternFill>
                  <bgColor theme="0"/>
                </patternFill>
              </fill>
              <border>
                <left/>
                <right/>
                <top/>
                <bottom/>
                <vertical/>
                <horizontal/>
              </border>
            </x14:dxf>
          </x14:cfRule>
          <x14:cfRule type="expression" priority="11" id="{2243D025-3538-4CBA-B3E9-EFB98731C892}">
            <xm:f>AND(GHG_FOSSIL_REFORM_CCS!$D$3="Default",Master_Switch="On")</xm:f>
            <x14:dxf>
              <font>
                <color theme="0"/>
              </font>
              <fill>
                <patternFill>
                  <bgColor theme="0"/>
                </patternFill>
              </fill>
              <border>
                <left/>
                <right/>
                <top/>
                <bottom/>
              </border>
            </x14:dxf>
          </x14:cfRule>
          <xm:sqref>A4:XFD100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3DC4-6D88-4637-AC53-21ABD7F26973}">
  <sheetPr codeName="Sheet23">
    <tabColor theme="5"/>
  </sheetPr>
  <dimension ref="A1:Z188"/>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IF(AND(Initial_questions!$E$21&lt;&gt;"Fossil Autothermal Reformer (ATR) with CCS", Initial_questions!$E$21&lt;&gt;"Fossil Steam Methane Reformer (SMR) with CCS",Initial_questions!$E$21&lt;&gt;"Fossil Partial Oxidation (POX) with CCS", Master_Switch="On"),"User should not fill in this sheet, but switch to other non-blank GHG worksheets","")</f>
        <v>User should not fill in this sheet, but switch to other non-blank GHG worksheets</v>
      </c>
      <c r="E1" s="262"/>
    </row>
    <row r="2" spans="1:26" ht="20.399999999999999" customHeight="1">
      <c r="B2" s="83" t="str">
        <f>IF(AND(GHG_FOSSIL_REFORM_CCS!$D$3="Default",Master_Switch="On"),"Default data selected for this module, move to the next step of the pathway",IF(AND(Initial_questions!$E$67=Units!$G$120,Master_Switch="On"), "OGA data used, move to the next step of the pathway",""))</f>
        <v/>
      </c>
      <c r="E2" s="262"/>
      <c r="I2" s="673" t="s">
        <v>631</v>
      </c>
      <c r="J2" s="674"/>
      <c r="K2" s="675"/>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639</v>
      </c>
      <c r="D8" s="183" t="s">
        <v>582</v>
      </c>
      <c r="E8" s="35"/>
      <c r="F8" s="21"/>
      <c r="G8" s="21"/>
      <c r="H8" s="20"/>
      <c r="I8" s="20"/>
      <c r="J8" s="307"/>
      <c r="K8" s="309"/>
      <c r="L8" s="247">
        <f t="shared" ref="L8:L17" si="0">IF($D8="MWh/yr (LHV)",$E8,$J8*$E8/Conversion_kWh_to_MJ)</f>
        <v>0</v>
      </c>
      <c r="M8" s="12"/>
      <c r="P8" s="110"/>
      <c r="Q8" s="110"/>
      <c r="R8" s="110"/>
      <c r="S8" s="12"/>
      <c r="U8" s="24"/>
      <c r="V8" s="12"/>
    </row>
    <row r="9" spans="1:26">
      <c r="B9" s="190" t="s">
        <v>592</v>
      </c>
      <c r="C9" s="188" t="s">
        <v>633</v>
      </c>
      <c r="D9" s="183" t="s">
        <v>747</v>
      </c>
      <c r="E9" s="35"/>
      <c r="F9" s="21"/>
      <c r="G9" s="21"/>
      <c r="H9" s="20"/>
      <c r="I9" s="36"/>
      <c r="J9" s="307"/>
      <c r="K9" s="309"/>
      <c r="L9" s="247">
        <f t="shared" si="0"/>
        <v>0</v>
      </c>
      <c r="M9" s="12"/>
      <c r="P9" s="35" t="str">
        <f t="shared" ref="P9:P10" si="1">IF(B9="", "", IF(D9="MWh/yr (LHV)", "Use column to right", "Enter data here"))</f>
        <v>Use column to right</v>
      </c>
      <c r="Q9" s="307" t="e">
        <f>INDEX(Assumptions!$F$5:$AJ$5,1,MATCH(Initial_questions!$E$24,Assumptions!$F$4:$AJ$4,0))*1000/Conversion_kWh_to_MJ</f>
        <v>#N/A</v>
      </c>
      <c r="R9" s="35" t="s">
        <v>896</v>
      </c>
      <c r="S9" s="247" t="str">
        <f t="shared" ref="S9:S17" si="2">IFERROR(IF(D9="tonnes/yr", $P9*$E9/($L$20*3.6), $Q9*$E9*3.6/($L$20*3.6)), "Unfilled fields to left")</f>
        <v>Unfilled fields to left</v>
      </c>
      <c r="U9" s="25"/>
      <c r="V9" s="12"/>
    </row>
    <row r="10" spans="1:26">
      <c r="B10" s="190" t="s">
        <v>592</v>
      </c>
      <c r="C10" s="188"/>
      <c r="D10" s="183"/>
      <c r="E10" s="35"/>
      <c r="F10" s="21"/>
      <c r="G10" s="21"/>
      <c r="H10" s="20"/>
      <c r="I10" s="36"/>
      <c r="J10" s="307"/>
      <c r="K10" s="309"/>
      <c r="L10" s="247">
        <f t="shared" si="0"/>
        <v>0</v>
      </c>
      <c r="M10" s="12"/>
      <c r="P10" s="35" t="str">
        <f t="shared" si="1"/>
        <v>Enter data here</v>
      </c>
      <c r="Q10" s="35" t="str">
        <f t="shared" ref="Q10" si="3">IF(B10="", "", IF(D10="MWh/yr (LHV)", "Enter data here", "Use column to left"))</f>
        <v>Use column to left</v>
      </c>
      <c r="R10" s="35" t="s">
        <v>898</v>
      </c>
      <c r="S10" s="247" t="str">
        <f t="shared" si="2"/>
        <v>Unfilled fields to left</v>
      </c>
      <c r="U10" s="25"/>
      <c r="V10" s="12"/>
    </row>
    <row r="11" spans="1:26">
      <c r="B11" s="190" t="s">
        <v>599</v>
      </c>
      <c r="C11" s="188" t="s">
        <v>600</v>
      </c>
      <c r="D11" s="183" t="s">
        <v>582</v>
      </c>
      <c r="E11" s="35"/>
      <c r="F11" s="21"/>
      <c r="G11" s="21"/>
      <c r="H11" s="20"/>
      <c r="I11" s="36"/>
      <c r="J11" s="307"/>
      <c r="K11" s="309"/>
      <c r="L11" s="247">
        <f t="shared" si="0"/>
        <v>0</v>
      </c>
      <c r="M11" s="12"/>
      <c r="P11" s="35" t="str">
        <f t="shared" ref="P11:P17" si="4">IF(B11="", "", IF(D11="MWh/yr (LHV)", "Use column to right", "Enter data here"))</f>
        <v>Enter data here</v>
      </c>
      <c r="Q11" s="35" t="str">
        <f t="shared" ref="Q11:Q17" si="5">IF(B11="", "", IF(D11="MWh/yr (LHV)", "Enter data here", "Use column to left"))</f>
        <v>Use column to left</v>
      </c>
      <c r="R11" s="35" t="s">
        <v>898</v>
      </c>
      <c r="S11" s="247" t="str">
        <f t="shared" si="2"/>
        <v>Unfilled fields to left</v>
      </c>
      <c r="U11" s="25"/>
      <c r="V11" s="12"/>
    </row>
    <row r="12" spans="1:26">
      <c r="B12" s="190" t="s">
        <v>599</v>
      </c>
      <c r="C12" s="188" t="s">
        <v>601</v>
      </c>
      <c r="D12" s="183" t="s">
        <v>582</v>
      </c>
      <c r="E12" s="35"/>
      <c r="F12" s="21"/>
      <c r="G12" s="21"/>
      <c r="H12" s="20"/>
      <c r="I12" s="36"/>
      <c r="J12" s="307"/>
      <c r="K12" s="309"/>
      <c r="L12" s="247">
        <f t="shared" si="0"/>
        <v>0</v>
      </c>
      <c r="M12" s="12"/>
      <c r="P12" s="35" t="str">
        <f t="shared" si="4"/>
        <v>Enter data here</v>
      </c>
      <c r="Q12" s="35" t="str">
        <f t="shared" si="5"/>
        <v>Use column to left</v>
      </c>
      <c r="R12" s="35" t="s">
        <v>898</v>
      </c>
      <c r="S12" s="247" t="str">
        <f t="shared" si="2"/>
        <v>Unfilled fields to left</v>
      </c>
      <c r="U12" s="25"/>
      <c r="V12" s="12"/>
    </row>
    <row r="13" spans="1:26">
      <c r="B13" s="190" t="s">
        <v>605</v>
      </c>
      <c r="C13" s="188" t="s">
        <v>585</v>
      </c>
      <c r="D13" s="183" t="s">
        <v>582</v>
      </c>
      <c r="E13" s="35"/>
      <c r="F13" s="21"/>
      <c r="G13" s="21"/>
      <c r="H13" s="20"/>
      <c r="I13" s="36"/>
      <c r="J13" s="307"/>
      <c r="K13" s="309"/>
      <c r="L13" s="247">
        <f t="shared" si="0"/>
        <v>0</v>
      </c>
      <c r="M13" s="12"/>
      <c r="P13" s="35" t="str">
        <f t="shared" si="4"/>
        <v>Enter data here</v>
      </c>
      <c r="Q13" s="35" t="str">
        <f t="shared" si="5"/>
        <v>Use column to left</v>
      </c>
      <c r="R13" s="35" t="s">
        <v>898</v>
      </c>
      <c r="S13" s="247" t="str">
        <f t="shared" si="2"/>
        <v>Unfilled fields to left</v>
      </c>
      <c r="U13" s="25"/>
      <c r="V13" s="12"/>
    </row>
    <row r="14" spans="1:26">
      <c r="B14" s="190" t="s">
        <v>605</v>
      </c>
      <c r="C14" s="188" t="s">
        <v>635</v>
      </c>
      <c r="D14" s="183" t="s">
        <v>582</v>
      </c>
      <c r="E14" s="35"/>
      <c r="F14" s="21"/>
      <c r="G14" s="21"/>
      <c r="H14" s="20"/>
      <c r="I14" s="36"/>
      <c r="J14" s="307"/>
      <c r="K14" s="309"/>
      <c r="L14" s="247">
        <f t="shared" si="0"/>
        <v>0</v>
      </c>
      <c r="M14" s="12"/>
      <c r="P14" s="35" t="str">
        <f t="shared" si="4"/>
        <v>Enter data here</v>
      </c>
      <c r="Q14" s="35" t="str">
        <f t="shared" si="5"/>
        <v>Use column to left</v>
      </c>
      <c r="R14" s="35" t="s">
        <v>898</v>
      </c>
      <c r="S14" s="247" t="str">
        <f t="shared" si="2"/>
        <v>Unfilled fields to left</v>
      </c>
      <c r="U14" s="25"/>
      <c r="V14" s="12"/>
    </row>
    <row r="15" spans="1:26">
      <c r="B15" s="190" t="s">
        <v>636</v>
      </c>
      <c r="C15" s="188" t="s">
        <v>609</v>
      </c>
      <c r="D15" s="183" t="s">
        <v>582</v>
      </c>
      <c r="E15" s="35"/>
      <c r="F15" s="21"/>
      <c r="G15" s="21"/>
      <c r="H15" s="20"/>
      <c r="I15" s="36"/>
      <c r="J15" s="307"/>
      <c r="K15" s="309"/>
      <c r="L15" s="247">
        <f t="shared" si="0"/>
        <v>0</v>
      </c>
      <c r="M15" s="12"/>
      <c r="P15" s="35" t="str">
        <f t="shared" si="4"/>
        <v>Enter data here</v>
      </c>
      <c r="Q15" s="35" t="str">
        <f t="shared" si="5"/>
        <v>Use column to left</v>
      </c>
      <c r="R15" s="35" t="s">
        <v>898</v>
      </c>
      <c r="S15" s="247" t="str">
        <f t="shared" si="2"/>
        <v>Unfilled fields to left</v>
      </c>
      <c r="U15" s="25"/>
      <c r="V15" s="12"/>
    </row>
    <row r="16" spans="1:26">
      <c r="B16" s="190" t="s">
        <v>636</v>
      </c>
      <c r="C16" s="188"/>
      <c r="D16" s="183"/>
      <c r="E16" s="35"/>
      <c r="F16" s="21"/>
      <c r="G16" s="21"/>
      <c r="H16" s="20"/>
      <c r="I16" s="36"/>
      <c r="J16" s="307"/>
      <c r="K16" s="309"/>
      <c r="L16" s="247">
        <f t="shared" si="0"/>
        <v>0</v>
      </c>
      <c r="M16" s="12"/>
      <c r="P16" s="35" t="str">
        <f t="shared" si="4"/>
        <v>Enter data here</v>
      </c>
      <c r="Q16" s="35" t="str">
        <f t="shared" si="5"/>
        <v>Use column to left</v>
      </c>
      <c r="R16" s="35" t="s">
        <v>898</v>
      </c>
      <c r="S16" s="247" t="str">
        <f t="shared" si="2"/>
        <v>Unfilled fields to left</v>
      </c>
      <c r="U16" s="25"/>
      <c r="V16" s="12"/>
    </row>
    <row r="17" spans="2:26">
      <c r="B17" s="16"/>
      <c r="C17" s="15"/>
      <c r="D17" s="183"/>
      <c r="E17" s="35"/>
      <c r="F17" s="21"/>
      <c r="G17" s="21"/>
      <c r="H17" s="20"/>
      <c r="I17" s="36"/>
      <c r="J17" s="307"/>
      <c r="K17" s="309"/>
      <c r="L17" s="247">
        <f t="shared" si="0"/>
        <v>0</v>
      </c>
      <c r="M17" s="12"/>
      <c r="P17" s="35" t="str">
        <f t="shared" si="4"/>
        <v/>
      </c>
      <c r="Q17" s="35" t="str">
        <f t="shared" si="5"/>
        <v/>
      </c>
      <c r="R17" s="35"/>
      <c r="S17" s="247" t="str">
        <f t="shared" si="2"/>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639</v>
      </c>
      <c r="D20" s="183" t="s">
        <v>582</v>
      </c>
      <c r="E20" s="35"/>
      <c r="F20" s="21"/>
      <c r="G20" s="21"/>
      <c r="H20" s="21"/>
      <c r="I20" s="21"/>
      <c r="J20" s="307"/>
      <c r="K20" s="313"/>
      <c r="L20" s="247">
        <f t="shared" ref="L20:L31" si="6">IF($D20="MWh/yr (LHV)",$E20,$J20*$E20/Conversion_kWh_to_MJ)</f>
        <v>0</v>
      </c>
      <c r="N20" s="251" t="str">
        <f>IFERROR(L20/L8,"")</f>
        <v/>
      </c>
      <c r="O20" s="250" t="str">
        <f>IFERROR(L20/(SUM($L$20:$L$22)),"")</f>
        <v/>
      </c>
      <c r="P20" s="42"/>
      <c r="Q20" s="42"/>
      <c r="R20" s="42"/>
      <c r="S20" s="42"/>
      <c r="U20" s="21"/>
      <c r="V20" s="12"/>
    </row>
    <row r="21" spans="2:26" s="14" customFormat="1">
      <c r="B21" s="190" t="s">
        <v>583</v>
      </c>
      <c r="C21" s="188" t="s">
        <v>804</v>
      </c>
      <c r="D21" s="183" t="s">
        <v>582</v>
      </c>
      <c r="E21" s="35"/>
      <c r="F21" s="21"/>
      <c r="G21" s="21"/>
      <c r="H21" s="20"/>
      <c r="I21" s="33"/>
      <c r="J21" s="307"/>
      <c r="K21" s="309"/>
      <c r="L21" s="247">
        <f t="shared" si="6"/>
        <v>0</v>
      </c>
      <c r="M21" s="12"/>
      <c r="N21" s="12"/>
      <c r="O21" s="250" t="str">
        <f t="shared" ref="O21:O22" si="7">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6"/>
        <v>0</v>
      </c>
      <c r="M22" s="12"/>
      <c r="N22" s="12"/>
      <c r="O22" s="250" t="str">
        <f t="shared" si="7"/>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6"/>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6"/>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6"/>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6"/>
        <v>0</v>
      </c>
      <c r="M26" s="12"/>
      <c r="N26" s="12"/>
      <c r="O26" s="12"/>
      <c r="P26" s="110"/>
      <c r="Q26" s="110"/>
      <c r="R26" s="110"/>
      <c r="S26" s="12"/>
      <c r="U26" s="21"/>
    </row>
    <row r="27" spans="2:26" s="14" customFormat="1">
      <c r="B27" s="190" t="s">
        <v>611</v>
      </c>
      <c r="C27" s="188" t="s">
        <v>818</v>
      </c>
      <c r="D27" s="183" t="s">
        <v>582</v>
      </c>
      <c r="E27" s="35"/>
      <c r="F27" s="34"/>
      <c r="G27" s="21"/>
      <c r="H27" s="20"/>
      <c r="I27" s="36"/>
      <c r="J27" s="307"/>
      <c r="K27" s="309"/>
      <c r="L27" s="247">
        <f t="shared" si="6"/>
        <v>0</v>
      </c>
      <c r="M27" s="12"/>
      <c r="N27" s="12"/>
      <c r="O27" s="12"/>
      <c r="P27" s="307">
        <f>1*1000</f>
        <v>1000</v>
      </c>
      <c r="Q27" s="505"/>
      <c r="R27" s="35" t="s">
        <v>821</v>
      </c>
      <c r="S27" s="247"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6"/>
        <v>0</v>
      </c>
      <c r="M28" s="12"/>
      <c r="N28" s="12"/>
      <c r="O28" s="12"/>
      <c r="P28" s="307">
        <f>28*1000</f>
        <v>28000</v>
      </c>
      <c r="Q28" s="505"/>
      <c r="R28" s="35" t="s">
        <v>651</v>
      </c>
      <c r="S28" s="247" t="str">
        <f>IFERROR(IF(D28="tonnes/yr", $P28*$E28/($L$20*3.6), $Q28*$E28*3.6/($L$20*3.6)), "Unfilled fields to left")</f>
        <v>Unfilled fields to left</v>
      </c>
      <c r="U28" s="21"/>
    </row>
    <row r="29" spans="2:26" s="14" customFormat="1">
      <c r="B29" s="190" t="s">
        <v>640</v>
      </c>
      <c r="C29" s="188" t="s">
        <v>824</v>
      </c>
      <c r="D29" s="183" t="s">
        <v>582</v>
      </c>
      <c r="E29" s="35"/>
      <c r="F29" s="21"/>
      <c r="G29" s="21"/>
      <c r="H29" s="20"/>
      <c r="I29" s="36"/>
      <c r="J29" s="307"/>
      <c r="K29" s="309"/>
      <c r="L29" s="247">
        <f t="shared" si="6"/>
        <v>0</v>
      </c>
      <c r="M29" s="12"/>
      <c r="N29" s="12"/>
      <c r="O29" s="12"/>
      <c r="P29" s="35">
        <v>265000</v>
      </c>
      <c r="Q29" s="546"/>
      <c r="R29" s="35" t="s">
        <v>651</v>
      </c>
      <c r="S29" s="247"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6"/>
        <v>0</v>
      </c>
      <c r="M30" s="12"/>
      <c r="N30" s="12"/>
      <c r="O30" s="12"/>
      <c r="P30" s="307"/>
      <c r="Q30" s="505"/>
      <c r="R30" s="309"/>
      <c r="S30" s="247" t="str">
        <f>IFERROR(IF(D30="tonnes/yr", $P30*$E30/($L$20*3.6), $Q30*$E30*3.6/($L$20*3.6)), "Unfilled fields to left")</f>
        <v>Unfilled fields to left</v>
      </c>
      <c r="U30" s="21"/>
    </row>
    <row r="31" spans="2:26" s="14" customFormat="1">
      <c r="B31" s="16"/>
      <c r="C31" s="15"/>
      <c r="D31" s="183"/>
      <c r="E31" s="35"/>
      <c r="F31" s="21"/>
      <c r="G31" s="21"/>
      <c r="H31" s="20"/>
      <c r="I31" s="36"/>
      <c r="J31" s="307"/>
      <c r="K31" s="309"/>
      <c r="L31" s="247">
        <f t="shared" si="6"/>
        <v>0</v>
      </c>
      <c r="M31" s="12"/>
      <c r="N31" s="12"/>
      <c r="O31" s="12"/>
      <c r="P31" s="307"/>
      <c r="Q31" s="505"/>
      <c r="R31" s="309"/>
      <c r="S31" s="247"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40"/>
      <c r="V32" s="12"/>
    </row>
    <row r="33" spans="2:22">
      <c r="D33" s="17"/>
      <c r="E33" s="144"/>
      <c r="J33" s="39"/>
      <c r="K33" s="39"/>
      <c r="M33" s="12"/>
      <c r="P33" s="39"/>
      <c r="Q33" s="39"/>
      <c r="R33" s="38" t="s">
        <v>641</v>
      </c>
      <c r="S33" s="157">
        <f>SUM(S7:S32)</f>
        <v>0</v>
      </c>
      <c r="V33" s="12"/>
    </row>
    <row r="34" spans="2:22">
      <c r="B34" s="149" t="s">
        <v>94</v>
      </c>
      <c r="C34" s="163"/>
      <c r="D34" s="163"/>
      <c r="E34" s="527"/>
      <c r="I34" s="12"/>
      <c r="J34" s="110"/>
      <c r="K34" s="110"/>
      <c r="L34" s="110"/>
      <c r="M34" s="12"/>
      <c r="P34" s="110"/>
      <c r="Q34" s="110"/>
      <c r="R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t="s">
        <v>709</v>
      </c>
      <c r="C36" s="15" t="s">
        <v>710</v>
      </c>
      <c r="D36" s="15" t="s">
        <v>222</v>
      </c>
      <c r="E36" s="529"/>
      <c r="H36" s="12"/>
      <c r="I36" s="12"/>
      <c r="J36" s="110"/>
      <c r="K36" s="110"/>
      <c r="L36" s="110"/>
      <c r="M36" s="12"/>
      <c r="P36" s="110"/>
      <c r="Q36" s="110"/>
      <c r="R36" s="110"/>
      <c r="S36" s="12"/>
      <c r="U36" s="25"/>
      <c r="V36" s="12"/>
    </row>
    <row r="37" spans="2:22">
      <c r="B37" s="16"/>
      <c r="C37" s="15"/>
      <c r="D37" s="15"/>
      <c r="E37" s="535"/>
      <c r="J37" s="39"/>
      <c r="K37" s="39"/>
      <c r="P37" s="39"/>
      <c r="Q37" s="39"/>
      <c r="R37" s="39"/>
      <c r="U37" s="25"/>
    </row>
    <row r="38" spans="2:22">
      <c r="B38" s="16"/>
      <c r="C38" s="15"/>
      <c r="D38" s="15"/>
      <c r="E38" s="535"/>
      <c r="J38" s="39"/>
      <c r="K38" s="39"/>
      <c r="P38" s="39"/>
      <c r="Q38" s="39"/>
      <c r="R38" s="39"/>
      <c r="U38" s="25"/>
    </row>
    <row r="39" spans="2:22">
      <c r="E39" s="110"/>
      <c r="J39" s="39"/>
      <c r="K39" s="39"/>
      <c r="P39" s="39"/>
      <c r="Q39" s="39"/>
      <c r="R39" s="39"/>
    </row>
    <row r="40" spans="2:22">
      <c r="E40" s="110"/>
      <c r="J40" s="39"/>
      <c r="K40" s="39"/>
      <c r="P40" s="39"/>
      <c r="Q40" s="39"/>
      <c r="R40" s="39"/>
    </row>
    <row r="41" spans="2:22">
      <c r="E41" s="110"/>
      <c r="J41" s="39"/>
      <c r="K41" s="39"/>
      <c r="P41" s="39"/>
      <c r="Q41" s="39"/>
      <c r="R41" s="39"/>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20:D31 D8:D17" xr:uid="{A6694520-268B-457F-AC89-C416B8EFC726}">
      <formula1>Flow_units</formula1>
    </dataValidation>
    <dataValidation type="custom" allowBlank="1" showInputMessage="1" showErrorMessage="1" error="Please do not change this formula" prompt="Please do not change this formula" sqref="L1:L1048576 S6:S1048576 T4 M4 S1:S4 N1:O4 N6:O1048576 N5:S5" xr:uid="{84EA5A4B-58D9-4886-B070-275F8FD1E462}">
      <formula1>"Please do not change this formula"</formula1>
    </dataValidation>
  </dataValidations>
  <hyperlinks>
    <hyperlink ref="I2:J2" location="'NG Reforming+CCS'!A1" display="Go to the next step of this pathway" xr:uid="{F69FC34C-5932-47F4-9979-D8AAB7D6C07A}"/>
    <hyperlink ref="I2:K2" location="NG_Reforming_CCS!A1" display="Go to the next step of this pathway" xr:uid="{044F82C2-D44F-4580-8CEB-3805458A53DA}"/>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3" id="{CB53E39F-80E1-4C57-BB20-A94A72D2295D}">
            <xm:f>AND(Initial_questions!$E$21&lt;&gt;"Fossil Autothermal Reformer (ATR) with CCS", Initial_questions!$E$21&lt;&gt;"Fossil Steam Methane Reformer (SMR) with CCS",Initial_questions!$E$21&lt;&gt;"Fossil Partial Oxidation (POX) with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6" id="{205C802A-EFA6-4F48-9FA5-4927BF8321A3}">
            <xm:f>AND(Initial_questions!$E$67=Units!$G$120,Master_Switch="On")</xm:f>
            <x14:dxf>
              <font>
                <color theme="0"/>
              </font>
              <fill>
                <patternFill>
                  <bgColor theme="0"/>
                </patternFill>
              </fill>
              <border>
                <left/>
                <right/>
                <top/>
                <bottom/>
                <vertical/>
                <horizontal/>
              </border>
            </x14:dxf>
          </x14:cfRule>
          <x14:cfRule type="expression" priority="12" id="{6848A98E-B354-41AE-B4C7-BC3D1AB7FFB9}">
            <xm:f>AND(GHG_FOSSIL_REFORM_CCS!$D$3="Default",Master_Switch="On")</xm:f>
            <x14:dxf>
              <font>
                <color theme="0"/>
              </font>
              <fill>
                <patternFill>
                  <bgColor theme="0"/>
                </patternFill>
              </fill>
              <border>
                <left/>
                <right/>
                <top/>
                <bottom/>
              </border>
            </x14:dxf>
          </x14:cfRule>
          <xm:sqref>A4:XFD100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theme="5"/>
  </sheetPr>
  <dimension ref="A1:Y246"/>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9" customWidth="1"/>
    <col min="2" max="2" width="23.33203125" style="19" customWidth="1"/>
    <col min="3" max="3" width="37.109375" style="19" customWidth="1"/>
    <col min="4" max="4" width="13.33203125" style="19" customWidth="1"/>
    <col min="5" max="5" width="16.44140625" style="482" customWidth="1"/>
    <col min="6" max="6" width="22" style="19" customWidth="1"/>
    <col min="7" max="7" width="18.77734375" style="19" customWidth="1"/>
    <col min="8" max="8" width="13.44140625" style="130" customWidth="1"/>
    <col min="9" max="9" width="14.109375" style="130" customWidth="1"/>
    <col min="10" max="10" width="14" style="130" customWidth="1"/>
    <col min="11" max="11" width="13.88671875" style="130" customWidth="1"/>
    <col min="12" max="12" width="14.33203125" style="129" customWidth="1"/>
    <col min="13" max="13" width="7.44140625" customWidth="1"/>
    <col min="14" max="14" width="18.88671875" style="19" customWidth="1"/>
    <col min="15" max="15" width="17.5546875" style="19" customWidth="1"/>
    <col min="16" max="17" width="20.77734375" style="130" customWidth="1"/>
    <col min="18" max="18" width="22.77734375" style="130" customWidth="1"/>
    <col min="19" max="19" width="20.21875" style="129" customWidth="1"/>
    <col min="20" max="20" width="16.5546875" style="19" customWidth="1"/>
    <col min="21" max="21" width="26" style="19" customWidth="1"/>
    <col min="23" max="16384" width="7.109375" style="19"/>
  </cols>
  <sheetData>
    <row r="1" spans="1:25" ht="31.8" customHeight="1">
      <c r="A1" s="83" t="str">
        <f>IF(AND(Initial_questions!$E$21&lt;&gt;"Fossil Autothermal Reformer (ATR) with CCS", Initial_questions!$E$21&lt;&gt;"Fossil Steam Methane Reformer (SMR) with CCS",Initial_questions!$E$21&lt;&gt;"Fossil Partial Oxidation (POX) with CCS",Master_Switch="On"),"User should not fill in this sheet, but switch to other non-blank GHG worksheets","")</f>
        <v>User should not fill in this sheet, but switch to other non-blank GHG worksheets</v>
      </c>
      <c r="E1" s="262"/>
    </row>
    <row r="2" spans="1:25" ht="20.399999999999999" customHeight="1">
      <c r="B2" s="83"/>
      <c r="E2" s="262"/>
      <c r="I2" s="669" t="s">
        <v>754</v>
      </c>
      <c r="J2" s="671"/>
      <c r="K2" s="672"/>
    </row>
    <row r="3" spans="1:25" ht="15" customHeight="1">
      <c r="E3" s="262"/>
    </row>
    <row r="4" spans="1:25" ht="15.6" customHeight="1" thickBot="1">
      <c r="B4" s="3"/>
      <c r="C4" s="3"/>
      <c r="D4" s="3"/>
      <c r="E4" s="478"/>
      <c r="F4" s="3"/>
      <c r="G4" s="3"/>
      <c r="H4" s="1"/>
      <c r="I4" s="1"/>
      <c r="J4" s="1"/>
      <c r="K4" s="1"/>
      <c r="L4" s="37"/>
      <c r="M4" s="1"/>
      <c r="N4" s="1"/>
      <c r="O4" s="3"/>
      <c r="P4" s="1"/>
      <c r="Q4" s="1"/>
      <c r="R4" s="1"/>
      <c r="S4" s="37"/>
      <c r="T4" s="37"/>
      <c r="U4" s="37"/>
    </row>
    <row r="5" spans="1:25"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5" ht="15" thickTop="1"/>
    <row r="7" spans="1:25">
      <c r="B7" s="149" t="s">
        <v>578</v>
      </c>
      <c r="C7" s="149"/>
      <c r="D7" s="149"/>
      <c r="E7" s="332"/>
      <c r="F7" s="149"/>
      <c r="G7" s="149"/>
      <c r="H7" s="149"/>
      <c r="I7" s="149"/>
      <c r="J7" s="149"/>
      <c r="K7" s="332"/>
      <c r="L7" s="308"/>
      <c r="P7" s="18"/>
      <c r="Q7" s="18"/>
      <c r="R7" s="18"/>
      <c r="S7" s="40"/>
      <c r="V7" s="19"/>
    </row>
    <row r="8" spans="1:25">
      <c r="B8" s="16" t="s">
        <v>579</v>
      </c>
      <c r="C8" s="188" t="s">
        <v>639</v>
      </c>
      <c r="D8" s="183" t="s">
        <v>582</v>
      </c>
      <c r="E8" s="35"/>
      <c r="F8" s="24"/>
      <c r="G8" s="24"/>
      <c r="H8" s="24"/>
      <c r="I8" s="24"/>
      <c r="J8" s="35"/>
      <c r="K8" s="35"/>
      <c r="L8" s="247">
        <f t="shared" ref="L8:L17" si="0">IF($D8="MWh/yr (LHV)",$E8,$J8*$E8/Conversion_kWh_to_MJ)</f>
        <v>0</v>
      </c>
      <c r="M8" s="19"/>
      <c r="P8" s="40"/>
      <c r="Q8" s="40"/>
      <c r="R8" s="40"/>
      <c r="S8" s="40"/>
      <c r="U8" s="21"/>
      <c r="V8" s="19"/>
    </row>
    <row r="9" spans="1:25">
      <c r="B9" s="16" t="s">
        <v>581</v>
      </c>
      <c r="C9" s="15" t="s">
        <v>645</v>
      </c>
      <c r="D9" s="15" t="s">
        <v>582</v>
      </c>
      <c r="E9" s="35">
        <f>Hydrogen_flow</f>
        <v>0</v>
      </c>
      <c r="F9" s="24"/>
      <c r="G9" s="24"/>
      <c r="H9" s="24"/>
      <c r="I9" s="24"/>
      <c r="J9" s="35">
        <v>120</v>
      </c>
      <c r="K9" s="35"/>
      <c r="L9" s="247">
        <f t="shared" si="0"/>
        <v>0</v>
      </c>
      <c r="M9" s="19"/>
      <c r="N9" s="249" t="str">
        <f>IFERROR(L9/L8,"")</f>
        <v/>
      </c>
      <c r="O9" s="250" t="str">
        <f>IFERROR(L9/(SUM($L$9:$L$18)),"")</f>
        <v/>
      </c>
      <c r="P9" s="42"/>
      <c r="Q9" s="42"/>
      <c r="R9" s="42"/>
      <c r="S9" s="19"/>
      <c r="U9" s="21"/>
      <c r="V9" s="19"/>
    </row>
    <row r="10" spans="1:25">
      <c r="B10" s="190" t="s">
        <v>583</v>
      </c>
      <c r="C10" s="188" t="s">
        <v>584</v>
      </c>
      <c r="D10" s="183" t="s">
        <v>747</v>
      </c>
      <c r="E10" s="35"/>
      <c r="F10" s="21"/>
      <c r="G10" s="21"/>
      <c r="H10" s="20"/>
      <c r="I10" s="33"/>
      <c r="J10" s="307"/>
      <c r="K10" s="309"/>
      <c r="L10" s="247">
        <f t="shared" si="0"/>
        <v>0</v>
      </c>
      <c r="M10" s="19"/>
      <c r="O10" s="250" t="str">
        <f>IFERROR(L10/(SUM($L$9:$L$18)),"")</f>
        <v/>
      </c>
      <c r="P10" s="42"/>
      <c r="Q10" s="42"/>
      <c r="R10" s="42"/>
      <c r="S10" s="19"/>
      <c r="T10" s="23"/>
      <c r="U10" s="21"/>
      <c r="V10" s="19"/>
    </row>
    <row r="11" spans="1:25">
      <c r="B11" s="190" t="s">
        <v>583</v>
      </c>
      <c r="C11" s="188" t="s">
        <v>897</v>
      </c>
      <c r="D11" s="183" t="s">
        <v>747</v>
      </c>
      <c r="E11" s="35"/>
      <c r="F11" s="21"/>
      <c r="G11" s="21"/>
      <c r="H11" s="20"/>
      <c r="I11" s="20"/>
      <c r="J11" s="309"/>
      <c r="K11" s="309"/>
      <c r="L11" s="247">
        <f t="shared" si="0"/>
        <v>0</v>
      </c>
      <c r="M11" s="19"/>
      <c r="O11" s="250" t="str">
        <f>IFERROR(L11/(SUM($L$9:$L$18)),"")</f>
        <v/>
      </c>
      <c r="P11" s="42"/>
      <c r="Q11" s="42"/>
      <c r="R11" s="42"/>
      <c r="S11" s="14"/>
      <c r="T11" s="23"/>
      <c r="U11" s="21"/>
      <c r="V11" s="19"/>
    </row>
    <row r="12" spans="1:25">
      <c r="B12" s="190" t="s">
        <v>583</v>
      </c>
      <c r="C12" s="188" t="s">
        <v>805</v>
      </c>
      <c r="D12" s="183" t="s">
        <v>582</v>
      </c>
      <c r="E12" s="35"/>
      <c r="F12" s="21"/>
      <c r="G12" s="21"/>
      <c r="H12" s="20"/>
      <c r="I12" s="20"/>
      <c r="J12" s="309"/>
      <c r="K12" s="309"/>
      <c r="L12" s="247">
        <f t="shared" si="0"/>
        <v>0</v>
      </c>
      <c r="M12" s="19"/>
      <c r="O12" s="250" t="str">
        <f>IFERROR(L12/(SUM($L$9:$L$18)),"")</f>
        <v/>
      </c>
      <c r="P12" s="40"/>
      <c r="Q12" s="40"/>
      <c r="R12" s="40"/>
      <c r="S12" s="40"/>
      <c r="U12" s="21"/>
      <c r="V12" s="19"/>
    </row>
    <row r="13" spans="1:25">
      <c r="B13" s="190" t="s">
        <v>583</v>
      </c>
      <c r="C13" s="188" t="s">
        <v>806</v>
      </c>
      <c r="D13" s="183" t="s">
        <v>582</v>
      </c>
      <c r="E13" s="35"/>
      <c r="F13" s="21"/>
      <c r="G13" s="21"/>
      <c r="H13" s="20"/>
      <c r="I13" s="20"/>
      <c r="J13" s="309"/>
      <c r="K13" s="309"/>
      <c r="L13" s="247">
        <f t="shared" si="0"/>
        <v>0</v>
      </c>
      <c r="M13" s="19"/>
      <c r="O13" s="250" t="str">
        <f>IFERROR(L13/(SUM($L$9:$L$18)),"")</f>
        <v/>
      </c>
      <c r="P13" s="40"/>
      <c r="Q13" s="40"/>
      <c r="R13" s="40"/>
      <c r="S13" s="40"/>
      <c r="U13" s="21"/>
      <c r="V13" s="19"/>
    </row>
    <row r="14" spans="1:25" s="14" customFormat="1">
      <c r="B14" s="190" t="s">
        <v>586</v>
      </c>
      <c r="C14" s="188" t="s">
        <v>587</v>
      </c>
      <c r="D14" s="183" t="s">
        <v>582</v>
      </c>
      <c r="E14" s="35"/>
      <c r="F14" s="21"/>
      <c r="G14" s="21"/>
      <c r="H14" s="20"/>
      <c r="I14" s="20"/>
      <c r="J14" s="309"/>
      <c r="K14" s="309"/>
      <c r="L14" s="247">
        <f t="shared" si="0"/>
        <v>0</v>
      </c>
      <c r="M14" s="19"/>
      <c r="N14" s="19"/>
      <c r="O14" s="19"/>
      <c r="P14" s="117"/>
      <c r="Q14" s="117"/>
      <c r="R14" s="117"/>
      <c r="S14" s="19"/>
      <c r="T14" s="23"/>
      <c r="U14" s="21"/>
      <c r="V14" s="23"/>
      <c r="W14" s="42"/>
      <c r="Y14" s="19"/>
    </row>
    <row r="15" spans="1:25" s="14" customFormat="1">
      <c r="B15" s="190" t="s">
        <v>586</v>
      </c>
      <c r="C15" s="188" t="s">
        <v>588</v>
      </c>
      <c r="D15" s="183" t="s">
        <v>582</v>
      </c>
      <c r="E15" s="35"/>
      <c r="F15" s="21"/>
      <c r="G15" s="21"/>
      <c r="H15" s="20"/>
      <c r="I15" s="20"/>
      <c r="J15" s="309"/>
      <c r="K15" s="309"/>
      <c r="L15" s="247">
        <f t="shared" si="0"/>
        <v>0</v>
      </c>
      <c r="M15" s="19"/>
      <c r="N15" s="19"/>
      <c r="O15" s="19"/>
      <c r="P15" s="117"/>
      <c r="Q15" s="117"/>
      <c r="R15" s="117"/>
      <c r="S15" s="19"/>
      <c r="T15" s="23"/>
      <c r="U15" s="21"/>
      <c r="V15" s="23"/>
      <c r="W15" s="42"/>
      <c r="Y15" s="19"/>
    </row>
    <row r="16" spans="1:25" s="14" customFormat="1">
      <c r="B16" s="190" t="s">
        <v>589</v>
      </c>
      <c r="C16" s="188" t="s">
        <v>590</v>
      </c>
      <c r="D16" s="183" t="s">
        <v>582</v>
      </c>
      <c r="E16" s="35"/>
      <c r="F16" s="21"/>
      <c r="G16" s="21"/>
      <c r="H16" s="20"/>
      <c r="I16" s="36"/>
      <c r="J16" s="307"/>
      <c r="K16" s="309"/>
      <c r="L16" s="247">
        <f t="shared" si="0"/>
        <v>0</v>
      </c>
      <c r="M16" s="19"/>
      <c r="N16" s="19"/>
      <c r="O16" s="19"/>
      <c r="P16" s="117"/>
      <c r="Q16" s="117"/>
      <c r="R16" s="117"/>
      <c r="S16" s="19"/>
      <c r="U16" s="21"/>
    </row>
    <row r="17" spans="2:22" s="14" customFormat="1">
      <c r="B17" s="190" t="s">
        <v>589</v>
      </c>
      <c r="C17" s="188" t="s">
        <v>591</v>
      </c>
      <c r="D17" s="183" t="s">
        <v>582</v>
      </c>
      <c r="E17" s="35"/>
      <c r="F17" s="21"/>
      <c r="G17" s="21"/>
      <c r="H17" s="20"/>
      <c r="I17" s="36"/>
      <c r="J17" s="307"/>
      <c r="K17" s="309"/>
      <c r="L17" s="247">
        <f t="shared" si="0"/>
        <v>0</v>
      </c>
      <c r="M17" s="19"/>
      <c r="N17" s="19"/>
      <c r="O17" s="19"/>
      <c r="P17" s="117"/>
      <c r="Q17" s="117"/>
      <c r="R17" s="117"/>
      <c r="S17" s="19"/>
      <c r="U17" s="21"/>
    </row>
    <row r="18" spans="2:22">
      <c r="B18" s="81"/>
      <c r="C18" s="268"/>
      <c r="D18" s="81"/>
      <c r="E18" s="510"/>
      <c r="F18" s="267"/>
      <c r="G18" s="82"/>
      <c r="H18" s="266"/>
      <c r="I18" s="266"/>
      <c r="J18" s="510"/>
      <c r="K18" s="260"/>
      <c r="L18" s="260"/>
      <c r="M18" s="19"/>
      <c r="P18" s="40"/>
      <c r="Q18" s="40"/>
      <c r="R18" s="40"/>
      <c r="S18" s="40"/>
      <c r="U18" s="267"/>
      <c r="V18" s="19"/>
    </row>
    <row r="19" spans="2:22" ht="31.2">
      <c r="B19" s="83" t="str">
        <f>IF(AND(GHG_FOSSIL_REFORM_CCS!$D$7="Default",Master_Switch="On"),"Default data selected for the category below, move to the next category of the module","")</f>
        <v/>
      </c>
      <c r="C19" s="268"/>
      <c r="D19" s="81"/>
      <c r="E19" s="510"/>
      <c r="F19" s="267"/>
      <c r="G19" s="82"/>
      <c r="H19" s="266"/>
      <c r="I19" s="266"/>
      <c r="J19" s="510"/>
      <c r="K19" s="260"/>
      <c r="L19" s="260"/>
      <c r="M19" s="19"/>
      <c r="P19" s="40"/>
      <c r="Q19" s="40"/>
      <c r="R19" s="40"/>
      <c r="S19" s="40"/>
      <c r="U19" s="267"/>
      <c r="V19" s="19"/>
    </row>
    <row r="20" spans="2:22">
      <c r="B20" s="149" t="s">
        <v>890</v>
      </c>
      <c r="C20" s="265"/>
      <c r="D20" s="265"/>
      <c r="E20" s="522"/>
      <c r="F20" s="264"/>
      <c r="G20" s="263"/>
      <c r="H20" s="155"/>
      <c r="I20" s="155"/>
      <c r="J20" s="522"/>
      <c r="K20" s="519"/>
      <c r="L20" s="519"/>
      <c r="M20" s="155"/>
      <c r="N20" s="156"/>
      <c r="O20" s="156"/>
      <c r="P20" s="508"/>
      <c r="Q20" s="514"/>
      <c r="R20" s="508"/>
      <c r="S20" s="157">
        <f>SUM(S21:S30)</f>
        <v>0</v>
      </c>
      <c r="V20" s="19"/>
    </row>
    <row r="21" spans="2:22">
      <c r="B21" s="190" t="s">
        <v>592</v>
      </c>
      <c r="C21" s="188" t="s">
        <v>647</v>
      </c>
      <c r="D21" s="183" t="s">
        <v>747</v>
      </c>
      <c r="E21" s="35"/>
      <c r="F21" s="24"/>
      <c r="G21" s="24"/>
      <c r="H21" s="24"/>
      <c r="I21" s="24"/>
      <c r="J21" s="310"/>
      <c r="K21" s="35"/>
      <c r="L21" s="247">
        <f t="shared" ref="L21:L30" si="1">IF($D21="MWh/yr (LHV)",$E21,$J21*$E21/Conversion_kWh_to_MJ)</f>
        <v>0</v>
      </c>
      <c r="M21" s="19"/>
      <c r="P21" s="35" t="str">
        <f t="shared" ref="P21:P23" si="2">IF(B21="", "", IF(D21="MWh/yr (LHV)", "Use column to right", "Enter data here"))</f>
        <v>Use column to right</v>
      </c>
      <c r="Q21" s="307" t="e">
        <f>Initial_questions!$E$41*1000/Conversion_kWh_to_MJ</f>
        <v>#VALUE!</v>
      </c>
      <c r="R21" s="307" t="s">
        <v>799</v>
      </c>
      <c r="S21" s="248" t="str">
        <f t="shared" ref="S21:S30" si="3">IFERROR(IF(D21="tonnes/yr", $P21*$E21/($L$9*3.6), $Q21*$E21*3.6/($L$9*3.6)), "Unfilled fields to left")</f>
        <v>Unfilled fields to left</v>
      </c>
      <c r="U21" s="21"/>
      <c r="V21" s="19"/>
    </row>
    <row r="22" spans="2:22">
      <c r="B22" s="190" t="s">
        <v>592</v>
      </c>
      <c r="C22" s="188" t="s">
        <v>648</v>
      </c>
      <c r="D22" s="183" t="s">
        <v>747</v>
      </c>
      <c r="E22" s="35"/>
      <c r="F22" s="24"/>
      <c r="G22" s="24"/>
      <c r="H22" s="24"/>
      <c r="I22" s="24"/>
      <c r="J22" s="307"/>
      <c r="K22" s="307"/>
      <c r="L22" s="247">
        <f t="shared" si="1"/>
        <v>0</v>
      </c>
      <c r="M22" s="19"/>
      <c r="P22" s="35" t="str">
        <f t="shared" si="2"/>
        <v>Use column to right</v>
      </c>
      <c r="Q22" s="307" t="e">
        <f>Initial_questions!$E$41*1000/Conversion_kWh_to_MJ</f>
        <v>#VALUE!</v>
      </c>
      <c r="R22" s="307" t="s">
        <v>799</v>
      </c>
      <c r="S22" s="367" t="str">
        <f t="shared" si="3"/>
        <v>Unfilled fields to left</v>
      </c>
      <c r="U22" s="25"/>
      <c r="V22" s="19"/>
    </row>
    <row r="23" spans="2:22">
      <c r="B23" s="190" t="s">
        <v>592</v>
      </c>
      <c r="C23" s="188" t="s">
        <v>649</v>
      </c>
      <c r="D23" s="183" t="s">
        <v>747</v>
      </c>
      <c r="E23" s="35"/>
      <c r="F23" s="24"/>
      <c r="G23" s="24"/>
      <c r="H23" s="24"/>
      <c r="I23" s="24"/>
      <c r="J23" s="307"/>
      <c r="K23" s="307"/>
      <c r="L23" s="247">
        <f t="shared" si="1"/>
        <v>0</v>
      </c>
      <c r="M23" s="262"/>
      <c r="P23" s="35" t="str">
        <f t="shared" si="2"/>
        <v>Use column to right</v>
      </c>
      <c r="Q23" s="307" t="e">
        <f>Initial_questions!$E$41*1000/Conversion_kWh_to_MJ</f>
        <v>#VALUE!</v>
      </c>
      <c r="R23" s="307" t="s">
        <v>799</v>
      </c>
      <c r="S23" s="367" t="str">
        <f t="shared" si="3"/>
        <v>Unfilled fields to left</v>
      </c>
      <c r="U23" s="25"/>
      <c r="V23" s="19"/>
    </row>
    <row r="24" spans="2:22">
      <c r="B24" s="190" t="s">
        <v>592</v>
      </c>
      <c r="C24" s="188" t="s">
        <v>597</v>
      </c>
      <c r="D24" s="183" t="s">
        <v>747</v>
      </c>
      <c r="E24" s="35"/>
      <c r="F24" s="85"/>
      <c r="G24" s="21"/>
      <c r="H24" s="20"/>
      <c r="I24" s="36"/>
      <c r="J24" s="307"/>
      <c r="K24" s="309"/>
      <c r="L24" s="247">
        <f t="shared" si="1"/>
        <v>0</v>
      </c>
      <c r="M24" s="19"/>
      <c r="P24" s="35" t="str">
        <f t="shared" ref="P24" si="4">IF(B24="", "", IF(D24="MWh/yr (LHV)", "Use column to right", "Enter data here"))</f>
        <v>Use column to right</v>
      </c>
      <c r="Q24" s="35" t="str">
        <f t="shared" ref="Q24" si="5">IF(B24="", "", IF(D24="MWh/yr (LHV)", "Enter data here", "Use column to left"))</f>
        <v>Enter data here</v>
      </c>
      <c r="R24" s="35" t="s">
        <v>899</v>
      </c>
      <c r="S24" s="367" t="str">
        <f t="shared" si="3"/>
        <v>Unfilled fields to left</v>
      </c>
      <c r="U24" s="25"/>
      <c r="V24" s="19"/>
    </row>
    <row r="25" spans="2:22">
      <c r="B25" s="190" t="s">
        <v>592</v>
      </c>
      <c r="C25" s="188" t="s">
        <v>598</v>
      </c>
      <c r="D25" s="183" t="s">
        <v>747</v>
      </c>
      <c r="E25" s="35"/>
      <c r="F25" s="21"/>
      <c r="G25" s="21"/>
      <c r="H25" s="20"/>
      <c r="I25" s="36"/>
      <c r="J25" s="307"/>
      <c r="K25" s="309"/>
      <c r="L25" s="247">
        <f t="shared" si="1"/>
        <v>0</v>
      </c>
      <c r="M25" s="19"/>
      <c r="P25" s="35" t="str">
        <f t="shared" ref="P25:P30" si="6">IF(B25="", "", IF(D25="MWh/yr (LHV)", "Use column to right", "Enter data here"))</f>
        <v>Use column to right</v>
      </c>
      <c r="Q25" s="35" t="str">
        <f t="shared" ref="Q25:Q30" si="7">IF(B25="", "", IF(D25="MWh/yr (LHV)", "Enter data here", "Use column to left"))</f>
        <v>Enter data here</v>
      </c>
      <c r="R25" s="35" t="s">
        <v>899</v>
      </c>
      <c r="S25" s="367" t="str">
        <f t="shared" si="3"/>
        <v>Unfilled fields to left</v>
      </c>
      <c r="U25" s="25"/>
      <c r="V25" s="19"/>
    </row>
    <row r="26" spans="2:22">
      <c r="B26" s="190" t="s">
        <v>599</v>
      </c>
      <c r="C26" s="188" t="s">
        <v>600</v>
      </c>
      <c r="D26" s="183" t="s">
        <v>582</v>
      </c>
      <c r="E26" s="35"/>
      <c r="F26" s="21"/>
      <c r="G26" s="21"/>
      <c r="H26" s="21"/>
      <c r="I26" s="21"/>
      <c r="J26" s="313"/>
      <c r="K26" s="313"/>
      <c r="L26" s="247">
        <f t="shared" si="1"/>
        <v>0</v>
      </c>
      <c r="M26" s="19"/>
      <c r="P26" s="35" t="str">
        <f t="shared" si="6"/>
        <v>Enter data here</v>
      </c>
      <c r="Q26" s="35" t="str">
        <f t="shared" si="7"/>
        <v>Use column to left</v>
      </c>
      <c r="R26" s="35" t="s">
        <v>899</v>
      </c>
      <c r="S26" s="367" t="str">
        <f t="shared" si="3"/>
        <v>Unfilled fields to left</v>
      </c>
      <c r="U26" s="21"/>
      <c r="V26" s="19"/>
    </row>
    <row r="27" spans="2:22">
      <c r="B27" s="190" t="s">
        <v>599</v>
      </c>
      <c r="C27" s="188" t="s">
        <v>601</v>
      </c>
      <c r="D27" s="183" t="s">
        <v>582</v>
      </c>
      <c r="E27" s="35"/>
      <c r="F27" s="21"/>
      <c r="G27" s="21"/>
      <c r="H27" s="21"/>
      <c r="I27" s="21"/>
      <c r="J27" s="313"/>
      <c r="K27" s="313"/>
      <c r="L27" s="247">
        <f t="shared" si="1"/>
        <v>0</v>
      </c>
      <c r="M27" s="19"/>
      <c r="P27" s="35" t="str">
        <f t="shared" si="6"/>
        <v>Enter data here</v>
      </c>
      <c r="Q27" s="35" t="str">
        <f t="shared" si="7"/>
        <v>Use column to left</v>
      </c>
      <c r="R27" s="35" t="s">
        <v>899</v>
      </c>
      <c r="S27" s="367" t="str">
        <f t="shared" si="3"/>
        <v>Unfilled fields to left</v>
      </c>
      <c r="U27" s="21"/>
      <c r="V27" s="19"/>
    </row>
    <row r="28" spans="2:22">
      <c r="B28" s="190" t="s">
        <v>599</v>
      </c>
      <c r="C28" s="188" t="s">
        <v>602</v>
      </c>
      <c r="D28" s="183" t="s">
        <v>582</v>
      </c>
      <c r="E28" s="35"/>
      <c r="F28" s="21"/>
      <c r="G28" s="21"/>
      <c r="H28" s="21"/>
      <c r="I28" s="21"/>
      <c r="J28" s="313"/>
      <c r="K28" s="313"/>
      <c r="L28" s="247">
        <f t="shared" si="1"/>
        <v>0</v>
      </c>
      <c r="M28" s="19"/>
      <c r="P28" s="35" t="str">
        <f t="shared" si="6"/>
        <v>Enter data here</v>
      </c>
      <c r="Q28" s="35" t="str">
        <f t="shared" si="7"/>
        <v>Use column to left</v>
      </c>
      <c r="R28" s="35" t="s">
        <v>899</v>
      </c>
      <c r="S28" s="367" t="str">
        <f t="shared" si="3"/>
        <v>Unfilled fields to left</v>
      </c>
      <c r="U28" s="21"/>
      <c r="V28" s="19"/>
    </row>
    <row r="29" spans="2:22">
      <c r="B29" s="16"/>
      <c r="C29" s="15"/>
      <c r="D29" s="183"/>
      <c r="E29" s="35"/>
      <c r="F29" s="21"/>
      <c r="G29" s="21"/>
      <c r="H29" s="20"/>
      <c r="I29" s="36"/>
      <c r="J29" s="307"/>
      <c r="K29" s="309"/>
      <c r="L29" s="247">
        <f t="shared" si="1"/>
        <v>0</v>
      </c>
      <c r="M29" s="19"/>
      <c r="P29" s="35" t="str">
        <f t="shared" si="6"/>
        <v/>
      </c>
      <c r="Q29" s="35" t="str">
        <f t="shared" si="7"/>
        <v/>
      </c>
      <c r="R29" s="35"/>
      <c r="S29" s="367" t="str">
        <f t="shared" si="3"/>
        <v>Unfilled fields to left</v>
      </c>
      <c r="U29" s="25"/>
      <c r="V29" s="19"/>
    </row>
    <row r="30" spans="2:22">
      <c r="B30" s="16"/>
      <c r="C30" s="15"/>
      <c r="D30" s="183"/>
      <c r="E30" s="35"/>
      <c r="F30" s="21"/>
      <c r="G30" s="21"/>
      <c r="H30" s="20"/>
      <c r="I30" s="36"/>
      <c r="J30" s="307"/>
      <c r="K30" s="309"/>
      <c r="L30" s="247">
        <f t="shared" si="1"/>
        <v>0</v>
      </c>
      <c r="M30" s="19"/>
      <c r="P30" s="35" t="str">
        <f t="shared" si="6"/>
        <v/>
      </c>
      <c r="Q30" s="35" t="str">
        <f t="shared" si="7"/>
        <v/>
      </c>
      <c r="R30" s="35"/>
      <c r="S30" s="367" t="str">
        <f t="shared" si="3"/>
        <v>Unfilled fields to left</v>
      </c>
      <c r="U30" s="25"/>
      <c r="V30" s="19"/>
    </row>
    <row r="31" spans="2:22">
      <c r="C31" s="268"/>
      <c r="D31" s="268"/>
      <c r="E31" s="537"/>
      <c r="F31" s="82"/>
      <c r="G31" s="82"/>
      <c r="H31" s="266"/>
      <c r="I31" s="261"/>
      <c r="J31" s="510"/>
      <c r="K31" s="260"/>
      <c r="L31" s="260"/>
      <c r="M31" s="19"/>
      <c r="P31" s="510"/>
      <c r="Q31" s="260"/>
      <c r="R31" s="260"/>
      <c r="S31" s="260"/>
      <c r="U31" s="259"/>
      <c r="V31" s="19"/>
    </row>
    <row r="32" spans="2:22" ht="31.2">
      <c r="B32" s="83" t="str">
        <f>IF(AND(GHG_FOSSIL_REFORM_CCS!$D$8="Default",Master_Switch="On"),"Default data selected for the category below, move to the next category of the module","")</f>
        <v/>
      </c>
      <c r="C32" s="268"/>
      <c r="D32" s="268"/>
      <c r="E32" s="537"/>
      <c r="F32" s="82"/>
      <c r="G32" s="82"/>
      <c r="H32" s="266"/>
      <c r="I32" s="261"/>
      <c r="J32" s="510"/>
      <c r="K32" s="260"/>
      <c r="L32" s="260"/>
      <c r="M32" s="19"/>
      <c r="P32" s="510"/>
      <c r="Q32" s="260"/>
      <c r="R32" s="260"/>
      <c r="S32" s="260"/>
      <c r="U32" s="259"/>
      <c r="V32" s="19"/>
    </row>
    <row r="33" spans="2:22" ht="15.6">
      <c r="B33" s="149" t="s">
        <v>889</v>
      </c>
      <c r="C33" s="258"/>
      <c r="D33" s="258"/>
      <c r="E33" s="538"/>
      <c r="F33" s="257"/>
      <c r="G33" s="257"/>
      <c r="H33" s="256"/>
      <c r="I33" s="255"/>
      <c r="J33" s="515"/>
      <c r="K33" s="516"/>
      <c r="L33" s="516"/>
      <c r="M33" s="254"/>
      <c r="N33" s="254"/>
      <c r="O33" s="254"/>
      <c r="P33" s="515"/>
      <c r="Q33" s="516"/>
      <c r="R33" s="516"/>
      <c r="S33" s="157">
        <f>SUM(S34:S43)</f>
        <v>0</v>
      </c>
      <c r="U33" s="259"/>
      <c r="V33" s="19"/>
    </row>
    <row r="34" spans="2:22">
      <c r="B34" s="190" t="s">
        <v>603</v>
      </c>
      <c r="C34" s="188" t="s">
        <v>650</v>
      </c>
      <c r="D34" s="183" t="s">
        <v>582</v>
      </c>
      <c r="E34" s="35"/>
      <c r="F34" s="21"/>
      <c r="G34" s="21"/>
      <c r="H34" s="21"/>
      <c r="I34" s="21"/>
      <c r="J34" s="313"/>
      <c r="K34" s="313"/>
      <c r="L34" s="247">
        <f t="shared" ref="L34:L43" si="8">IF($D34="MWh/yr (LHV)",$E34,$J34*$E34/Conversion_kWh_to_MJ)</f>
        <v>0</v>
      </c>
      <c r="M34" s="19"/>
      <c r="P34" s="35" t="s">
        <v>881</v>
      </c>
      <c r="Q34" s="35" t="s">
        <v>882</v>
      </c>
      <c r="R34" s="35" t="s">
        <v>899</v>
      </c>
      <c r="S34" s="247" t="str">
        <f t="shared" ref="S34:S43" si="9">IFERROR(IF(D34="tonnes/yr", $P34*$E34/($L$9*3.6), $Q34*$E34*3.6/($L$9*3.6)), "Unfilled fields to left")</f>
        <v>Unfilled fields to left</v>
      </c>
      <c r="U34" s="21"/>
      <c r="V34" s="19"/>
    </row>
    <row r="35" spans="2:22">
      <c r="B35" s="190" t="s">
        <v>605</v>
      </c>
      <c r="C35" s="188" t="s">
        <v>585</v>
      </c>
      <c r="D35" s="183" t="s">
        <v>582</v>
      </c>
      <c r="E35" s="35"/>
      <c r="F35" s="21"/>
      <c r="G35" s="21"/>
      <c r="H35" s="20"/>
      <c r="I35" s="36"/>
      <c r="J35" s="307"/>
      <c r="K35" s="309"/>
      <c r="L35" s="247">
        <f t="shared" si="8"/>
        <v>0</v>
      </c>
      <c r="M35" s="19"/>
      <c r="P35" s="35" t="s">
        <v>881</v>
      </c>
      <c r="Q35" s="35" t="s">
        <v>882</v>
      </c>
      <c r="R35" s="35" t="s">
        <v>899</v>
      </c>
      <c r="S35" s="247" t="str">
        <f t="shared" si="9"/>
        <v>Unfilled fields to left</v>
      </c>
      <c r="U35" s="25"/>
      <c r="V35" s="19"/>
    </row>
    <row r="36" spans="2:22">
      <c r="B36" s="190" t="s">
        <v>605</v>
      </c>
      <c r="C36" s="188" t="s">
        <v>607</v>
      </c>
      <c r="D36" s="183" t="s">
        <v>582</v>
      </c>
      <c r="E36" s="35"/>
      <c r="F36" s="21"/>
      <c r="G36" s="21"/>
      <c r="H36" s="20"/>
      <c r="I36" s="36"/>
      <c r="J36" s="307"/>
      <c r="K36" s="309"/>
      <c r="L36" s="247">
        <f t="shared" si="8"/>
        <v>0</v>
      </c>
      <c r="M36" s="19"/>
      <c r="P36" s="35" t="s">
        <v>881</v>
      </c>
      <c r="Q36" s="35" t="s">
        <v>882</v>
      </c>
      <c r="R36" s="35" t="s">
        <v>899</v>
      </c>
      <c r="S36" s="247" t="str">
        <f t="shared" si="9"/>
        <v>Unfilled fields to left</v>
      </c>
      <c r="U36" s="25"/>
      <c r="V36" s="19"/>
    </row>
    <row r="37" spans="2:22">
      <c r="B37" s="190" t="s">
        <v>605</v>
      </c>
      <c r="C37" s="188"/>
      <c r="D37" s="183"/>
      <c r="E37" s="35"/>
      <c r="F37" s="21"/>
      <c r="G37" s="21"/>
      <c r="H37" s="20"/>
      <c r="I37" s="36"/>
      <c r="J37" s="307"/>
      <c r="K37" s="309"/>
      <c r="L37" s="247">
        <f t="shared" si="8"/>
        <v>0</v>
      </c>
      <c r="M37" s="19"/>
      <c r="P37" s="35" t="s">
        <v>881</v>
      </c>
      <c r="Q37" s="35" t="s">
        <v>882</v>
      </c>
      <c r="R37" s="35" t="s">
        <v>899</v>
      </c>
      <c r="S37" s="247" t="str">
        <f t="shared" si="9"/>
        <v>Unfilled fields to left</v>
      </c>
      <c r="U37" s="25"/>
      <c r="V37" s="19"/>
    </row>
    <row r="38" spans="2:22">
      <c r="B38" s="190" t="s">
        <v>608</v>
      </c>
      <c r="C38" s="188" t="s">
        <v>609</v>
      </c>
      <c r="D38" s="183" t="s">
        <v>582</v>
      </c>
      <c r="E38" s="35"/>
      <c r="F38" s="21"/>
      <c r="G38" s="21"/>
      <c r="H38" s="20"/>
      <c r="I38" s="36"/>
      <c r="J38" s="307"/>
      <c r="K38" s="309"/>
      <c r="L38" s="247">
        <f t="shared" si="8"/>
        <v>0</v>
      </c>
      <c r="M38" s="19"/>
      <c r="P38" s="35" t="s">
        <v>881</v>
      </c>
      <c r="Q38" s="35" t="s">
        <v>882</v>
      </c>
      <c r="R38" s="35" t="s">
        <v>899</v>
      </c>
      <c r="S38" s="247" t="str">
        <f t="shared" si="9"/>
        <v>Unfilled fields to left</v>
      </c>
      <c r="U38" s="25"/>
      <c r="V38" s="19"/>
    </row>
    <row r="39" spans="2:22">
      <c r="B39" s="190" t="s">
        <v>608</v>
      </c>
      <c r="C39" s="188"/>
      <c r="D39" s="183"/>
      <c r="E39" s="35"/>
      <c r="F39" s="21"/>
      <c r="G39" s="21"/>
      <c r="H39" s="20"/>
      <c r="I39" s="36"/>
      <c r="J39" s="307"/>
      <c r="K39" s="309"/>
      <c r="L39" s="247">
        <f t="shared" si="8"/>
        <v>0</v>
      </c>
      <c r="M39" s="19"/>
      <c r="P39" s="35" t="s">
        <v>881</v>
      </c>
      <c r="Q39" s="35" t="s">
        <v>882</v>
      </c>
      <c r="R39" s="35" t="s">
        <v>899</v>
      </c>
      <c r="S39" s="247" t="str">
        <f t="shared" si="9"/>
        <v>Unfilled fields to left</v>
      </c>
      <c r="U39" s="25"/>
      <c r="V39" s="19"/>
    </row>
    <row r="40" spans="2:22">
      <c r="B40" s="16"/>
      <c r="C40" s="15"/>
      <c r="D40" s="183"/>
      <c r="E40" s="35"/>
      <c r="F40" s="21"/>
      <c r="G40" s="21"/>
      <c r="H40" s="20"/>
      <c r="I40" s="36"/>
      <c r="J40" s="307"/>
      <c r="K40" s="309"/>
      <c r="L40" s="247">
        <f t="shared" si="8"/>
        <v>0</v>
      </c>
      <c r="M40" s="19"/>
      <c r="P40" s="307"/>
      <c r="Q40" s="309"/>
      <c r="R40" s="309"/>
      <c r="S40" s="247" t="str">
        <f t="shared" si="9"/>
        <v>Unfilled fields to left</v>
      </c>
      <c r="U40" s="25"/>
      <c r="V40" s="19"/>
    </row>
    <row r="41" spans="2:22">
      <c r="B41" s="16"/>
      <c r="C41" s="15"/>
      <c r="D41" s="183"/>
      <c r="E41" s="35"/>
      <c r="F41" s="21"/>
      <c r="G41" s="21"/>
      <c r="H41" s="20"/>
      <c r="I41" s="36"/>
      <c r="J41" s="307"/>
      <c r="K41" s="309"/>
      <c r="L41" s="247">
        <f t="shared" si="8"/>
        <v>0</v>
      </c>
      <c r="M41" s="19"/>
      <c r="P41" s="307"/>
      <c r="Q41" s="309"/>
      <c r="R41" s="309"/>
      <c r="S41" s="247" t="str">
        <f t="shared" si="9"/>
        <v>Unfilled fields to left</v>
      </c>
      <c r="U41" s="25"/>
      <c r="V41" s="19"/>
    </row>
    <row r="42" spans="2:22">
      <c r="B42" s="16"/>
      <c r="C42" s="15"/>
      <c r="D42" s="183"/>
      <c r="E42" s="35"/>
      <c r="F42" s="21"/>
      <c r="G42" s="21"/>
      <c r="H42" s="20"/>
      <c r="I42" s="36"/>
      <c r="J42" s="307"/>
      <c r="K42" s="309"/>
      <c r="L42" s="247">
        <f t="shared" si="8"/>
        <v>0</v>
      </c>
      <c r="M42" s="19"/>
      <c r="P42" s="307"/>
      <c r="Q42" s="309"/>
      <c r="R42" s="309"/>
      <c r="S42" s="247" t="str">
        <f t="shared" si="9"/>
        <v>Unfilled fields to left</v>
      </c>
      <c r="U42" s="25"/>
      <c r="V42" s="19"/>
    </row>
    <row r="43" spans="2:22">
      <c r="B43" s="16"/>
      <c r="C43" s="15"/>
      <c r="D43" s="183"/>
      <c r="E43" s="35"/>
      <c r="F43" s="21"/>
      <c r="G43" s="21"/>
      <c r="H43" s="20"/>
      <c r="I43" s="36"/>
      <c r="J43" s="307"/>
      <c r="K43" s="309"/>
      <c r="L43" s="247">
        <f t="shared" si="8"/>
        <v>0</v>
      </c>
      <c r="M43" s="19"/>
      <c r="P43" s="307"/>
      <c r="Q43" s="309"/>
      <c r="R43" s="309"/>
      <c r="S43" s="247" t="str">
        <f t="shared" si="9"/>
        <v>Unfilled fields to left</v>
      </c>
      <c r="U43" s="25"/>
      <c r="V43" s="19"/>
    </row>
    <row r="44" spans="2:22">
      <c r="B44" s="14"/>
      <c r="C44" s="86"/>
      <c r="D44" s="86"/>
      <c r="E44" s="526"/>
      <c r="F44" s="87"/>
      <c r="G44" s="88"/>
      <c r="H44" s="89"/>
      <c r="I44" s="89"/>
      <c r="J44" s="90"/>
      <c r="K44" s="90"/>
      <c r="L44" s="90"/>
      <c r="M44" s="28"/>
      <c r="N44" s="14"/>
      <c r="O44" s="14"/>
      <c r="P44" s="90"/>
      <c r="Q44" s="90"/>
      <c r="R44" s="90"/>
      <c r="S44" s="90"/>
      <c r="U44" s="253"/>
      <c r="V44" s="19"/>
    </row>
    <row r="45" spans="2:22" s="14" customFormat="1" ht="15.6">
      <c r="B45" s="149" t="s">
        <v>813</v>
      </c>
      <c r="C45" s="163"/>
      <c r="D45" s="163"/>
      <c r="E45" s="527"/>
      <c r="F45" s="164"/>
      <c r="G45" s="165"/>
      <c r="H45" s="164"/>
      <c r="I45" s="164"/>
      <c r="J45" s="314"/>
      <c r="K45" s="314"/>
      <c r="L45" s="314"/>
      <c r="M45" s="166"/>
      <c r="N45" s="167"/>
      <c r="O45" s="156"/>
      <c r="P45" s="314"/>
      <c r="Q45" s="314"/>
      <c r="R45" s="314"/>
      <c r="S45" s="157">
        <f>SUM(S46:S50)</f>
        <v>0</v>
      </c>
      <c r="U45" s="82"/>
    </row>
    <row r="46" spans="2:22" s="14" customFormat="1">
      <c r="B46" s="16" t="s">
        <v>611</v>
      </c>
      <c r="C46" s="188" t="s">
        <v>834</v>
      </c>
      <c r="D46" s="183" t="s">
        <v>582</v>
      </c>
      <c r="E46" s="35"/>
      <c r="F46" s="24"/>
      <c r="G46" s="24"/>
      <c r="H46" s="24"/>
      <c r="I46" s="24"/>
      <c r="J46" s="35"/>
      <c r="K46" s="35"/>
      <c r="L46" s="247">
        <f>IF($D46="MWh/yr (LHV)",$E46,$J46*$E46/Conversion_kWh_to_MJ)</f>
        <v>0</v>
      </c>
      <c r="M46" s="19"/>
      <c r="N46" s="19"/>
      <c r="O46" s="19"/>
      <c r="P46" s="307">
        <v>1000</v>
      </c>
      <c r="Q46" s="505"/>
      <c r="R46" s="35" t="s">
        <v>814</v>
      </c>
      <c r="S46" s="247" t="str">
        <f>IFERROR(IF(D46="tonnes/yr", $P46*$E46/($L$9*3.6), $Q46*$E46*3.6/($L$9*3.6)), "Unfilled fields to left")</f>
        <v>Unfilled fields to left</v>
      </c>
      <c r="T46" s="116"/>
      <c r="U46" s="21"/>
    </row>
    <row r="47" spans="2:22" s="14" customFormat="1">
      <c r="B47" s="16"/>
      <c r="C47" s="15"/>
      <c r="D47" s="183"/>
      <c r="E47" s="35"/>
      <c r="F47" s="66"/>
      <c r="G47" s="66"/>
      <c r="H47" s="66"/>
      <c r="I47" s="66"/>
      <c r="J47" s="311"/>
      <c r="K47" s="313"/>
      <c r="L47" s="247">
        <f>IF($D47="MWh/yr (LHV)",$E47,$J47*$E47/Conversion_kWh_to_MJ)</f>
        <v>0</v>
      </c>
      <c r="M47" s="19"/>
      <c r="N47" s="19"/>
      <c r="O47" s="19"/>
      <c r="P47" s="309"/>
      <c r="Q47" s="505"/>
      <c r="R47" s="309"/>
      <c r="S47" s="247" t="str">
        <f>IFERROR(IF(D47="tonnes/yr", $P47*$E47/($L$9*3.6), $Q47*$E47*3.6/($L$9*3.6)), "Unfilled fields to left")</f>
        <v>Unfilled fields to left</v>
      </c>
      <c r="U47" s="21"/>
    </row>
    <row r="48" spans="2:22" s="14" customFormat="1">
      <c r="B48" s="67"/>
      <c r="C48" s="15"/>
      <c r="D48" s="183"/>
      <c r="E48" s="35"/>
      <c r="F48" s="21"/>
      <c r="G48" s="21"/>
      <c r="H48" s="66"/>
      <c r="I48" s="66"/>
      <c r="J48" s="311"/>
      <c r="K48" s="313"/>
      <c r="L48" s="247">
        <f>IF($D48="MWh/yr (LHV)",$E48,$J48*$E48/Conversion_kWh_to_MJ)</f>
        <v>0</v>
      </c>
      <c r="M48" s="19"/>
      <c r="N48" s="19"/>
      <c r="O48" s="19"/>
      <c r="P48" s="315"/>
      <c r="Q48" s="505"/>
      <c r="R48" s="309"/>
      <c r="S48" s="247" t="str">
        <f>IFERROR(IF(D48="tonnes/yr", $P48*$E48/($L$9*3.6), $Q48*$E48*3.6/($L$9*3.6)), "Unfilled fields to left")</f>
        <v>Unfilled fields to left</v>
      </c>
      <c r="U48" s="68"/>
    </row>
    <row r="49" spans="2:22" s="14" customFormat="1">
      <c r="B49" s="67"/>
      <c r="C49" s="15"/>
      <c r="D49" s="183"/>
      <c r="E49" s="35"/>
      <c r="F49" s="21"/>
      <c r="G49" s="21"/>
      <c r="H49" s="21"/>
      <c r="I49" s="21"/>
      <c r="J49" s="313"/>
      <c r="K49" s="313"/>
      <c r="L49" s="247">
        <f>IF($D49="MWh/yr (LHV)",$E49,$J49*$E49/Conversion_kWh_to_MJ)</f>
        <v>0</v>
      </c>
      <c r="M49" s="19"/>
      <c r="N49" s="19"/>
      <c r="O49" s="19"/>
      <c r="P49" s="315"/>
      <c r="Q49" s="505"/>
      <c r="R49" s="309"/>
      <c r="S49" s="247" t="str">
        <f>IFERROR(IF(D49="tonnes/yr", $P49*$E49/($L$9*3.6), $Q49*$E49*3.6/($L$9*3.6)), "Unfilled fields to left")</f>
        <v>Unfilled fields to left</v>
      </c>
      <c r="U49" s="68"/>
    </row>
    <row r="50" spans="2:22" s="14" customFormat="1">
      <c r="B50" s="67"/>
      <c r="C50" s="15"/>
      <c r="D50" s="183"/>
      <c r="E50" s="35"/>
      <c r="F50" s="21"/>
      <c r="G50" s="21"/>
      <c r="H50" s="21"/>
      <c r="I50" s="21"/>
      <c r="J50" s="313"/>
      <c r="K50" s="313"/>
      <c r="L50" s="247">
        <f>IF($D50="MWh/yr (LHV)",$E50,$J50*$E50/Conversion_kWh_to_MJ)</f>
        <v>0</v>
      </c>
      <c r="M50" s="19"/>
      <c r="N50" s="19"/>
      <c r="O50" s="19"/>
      <c r="P50" s="315"/>
      <c r="Q50" s="505"/>
      <c r="R50" s="309"/>
      <c r="S50" s="247" t="str">
        <f>IFERROR(IF(D50="tonnes/yr", $P50*$E50/($L$9*3.6), $Q50*$E50*3.6/($L$9*3.6)), "Unfilled fields to left")</f>
        <v>Unfilled fields to left</v>
      </c>
      <c r="U50" s="68"/>
    </row>
    <row r="51" spans="2:22">
      <c r="B51" s="14"/>
      <c r="C51" s="86"/>
      <c r="D51" s="86"/>
      <c r="E51" s="526"/>
      <c r="F51" s="87"/>
      <c r="G51" s="88"/>
      <c r="H51" s="89"/>
      <c r="I51" s="89"/>
      <c r="J51" s="90"/>
      <c r="K51" s="90"/>
      <c r="L51" s="90"/>
      <c r="M51" s="28"/>
      <c r="N51" s="14"/>
      <c r="O51" s="14"/>
      <c r="P51" s="90"/>
      <c r="Q51" s="90"/>
      <c r="R51" s="90"/>
      <c r="S51" s="90"/>
      <c r="U51" s="253"/>
      <c r="V51" s="19"/>
    </row>
    <row r="52" spans="2:22" ht="15.6">
      <c r="B52" s="149" t="s">
        <v>612</v>
      </c>
      <c r="C52" s="258"/>
      <c r="D52" s="258"/>
      <c r="E52" s="538"/>
      <c r="F52" s="257"/>
      <c r="G52" s="257"/>
      <c r="H52" s="256"/>
      <c r="I52" s="255"/>
      <c r="J52" s="515"/>
      <c r="K52" s="516"/>
      <c r="L52" s="516"/>
      <c r="M52" s="254"/>
      <c r="N52" s="254"/>
      <c r="O52" s="254"/>
      <c r="P52" s="515"/>
      <c r="Q52" s="516"/>
      <c r="R52" s="516"/>
      <c r="S52" s="157">
        <f>SUM(S53:S58)</f>
        <v>0</v>
      </c>
      <c r="U52" s="259"/>
      <c r="V52" s="19"/>
    </row>
    <row r="53" spans="2:22" s="14" customFormat="1">
      <c r="B53" s="190" t="s">
        <v>592</v>
      </c>
      <c r="C53" s="188" t="s">
        <v>613</v>
      </c>
      <c r="D53" s="183" t="s">
        <v>747</v>
      </c>
      <c r="E53" s="35"/>
      <c r="F53" s="24"/>
      <c r="G53" s="24"/>
      <c r="H53" s="24"/>
      <c r="I53" s="325"/>
      <c r="J53" s="307"/>
      <c r="K53" s="307"/>
      <c r="L53" s="247">
        <f t="shared" ref="L53:L58" si="10">IF($D53="MWh/yr (LHV)",$E53,$J53*$E53/Conversion_kWh_to_MJ)</f>
        <v>0</v>
      </c>
      <c r="M53" s="19"/>
      <c r="N53" s="19"/>
      <c r="O53" s="19"/>
      <c r="P53" s="307" t="str">
        <f>IF(B53="", "", IF(D53="MWh/yr (LHV)", "Use column to right", "Enter data here"))</f>
        <v>Use column to right</v>
      </c>
      <c r="Q53" s="307" t="e">
        <f>Initial_questions!$E$41*1000/Conversion_kWh_to_MJ</f>
        <v>#VALUE!</v>
      </c>
      <c r="R53" s="35" t="s">
        <v>799</v>
      </c>
      <c r="S53" s="247" t="str">
        <f t="shared" ref="S53:S58" si="11">IFERROR(IF(D53="tonnes/yr", $P53*$E53/($L$9*3.6), $Q53*$E53*3.6/($L$9*3.6)), "Unfilled fields to left")</f>
        <v>Unfilled fields to left</v>
      </c>
      <c r="U53" s="21"/>
    </row>
    <row r="54" spans="2:22" s="14" customFormat="1">
      <c r="B54" s="190" t="s">
        <v>592</v>
      </c>
      <c r="C54" s="188" t="s">
        <v>614</v>
      </c>
      <c r="D54" s="183" t="s">
        <v>747</v>
      </c>
      <c r="E54" s="35"/>
      <c r="F54" s="24"/>
      <c r="G54" s="24"/>
      <c r="H54" s="24"/>
      <c r="I54" s="24"/>
      <c r="J54" s="307"/>
      <c r="K54" s="307"/>
      <c r="L54" s="247">
        <f t="shared" si="10"/>
        <v>0</v>
      </c>
      <c r="M54" s="19"/>
      <c r="N54" s="19"/>
      <c r="O54" s="19"/>
      <c r="P54" s="307" t="str">
        <f t="shared" ref="P54:P57" si="12">IF(B54="", "", IF(D54="MWh/yr (LHV)", "Use column to right", "Enter data here"))</f>
        <v>Use column to right</v>
      </c>
      <c r="Q54" s="307" t="e">
        <f>INDEX(Assumptions!$F$5:$AJ$5,1,MATCH(Initial_questions!$E$24,Assumptions!$F$4:$AJ$4,0))*1000/Conversion_kWh_to_MJ</f>
        <v>#N/A</v>
      </c>
      <c r="R54" s="35" t="s">
        <v>896</v>
      </c>
      <c r="S54" s="247" t="str">
        <f t="shared" si="11"/>
        <v>Unfilled fields to left</v>
      </c>
      <c r="U54" s="68"/>
    </row>
    <row r="55" spans="2:22" s="14" customFormat="1">
      <c r="B55" s="190" t="s">
        <v>592</v>
      </c>
      <c r="C55" s="188" t="s">
        <v>879</v>
      </c>
      <c r="D55" s="183" t="s">
        <v>582</v>
      </c>
      <c r="E55" s="35"/>
      <c r="F55" s="24"/>
      <c r="G55" s="24"/>
      <c r="H55" s="24"/>
      <c r="I55" s="24"/>
      <c r="J55" s="307"/>
      <c r="K55" s="307"/>
      <c r="L55" s="247">
        <f t="shared" si="10"/>
        <v>0</v>
      </c>
      <c r="M55" s="19"/>
      <c r="N55" s="19"/>
      <c r="O55" s="19"/>
      <c r="P55" s="307" t="str">
        <f t="shared" si="12"/>
        <v>Enter data here</v>
      </c>
      <c r="Q55" s="307" t="str">
        <f>IF(B55="", "", IF(D55="MWh/yr (LHV)", "Enter data here", "Use column to left"))</f>
        <v>Use column to left</v>
      </c>
      <c r="R55" s="35" t="s">
        <v>871</v>
      </c>
      <c r="S55" s="247" t="str">
        <f t="shared" si="11"/>
        <v>Unfilled fields to left</v>
      </c>
      <c r="U55" s="68"/>
    </row>
    <row r="56" spans="2:22">
      <c r="B56" s="190" t="s">
        <v>592</v>
      </c>
      <c r="C56" s="188" t="s">
        <v>615</v>
      </c>
      <c r="D56" s="183" t="s">
        <v>582</v>
      </c>
      <c r="E56" s="35"/>
      <c r="F56" s="21"/>
      <c r="G56" s="21"/>
      <c r="H56" s="21"/>
      <c r="I56" s="21"/>
      <c r="J56" s="313"/>
      <c r="K56" s="313"/>
      <c r="L56" s="247">
        <f t="shared" si="10"/>
        <v>0</v>
      </c>
      <c r="M56" s="19"/>
      <c r="P56" s="307" t="str">
        <f t="shared" si="12"/>
        <v>Enter data here</v>
      </c>
      <c r="Q56" s="307" t="str">
        <f>IF(B56="", "", IF(D56="MWh/yr (LHV)", "Enter data here", "Use column to left"))</f>
        <v>Use column to left</v>
      </c>
      <c r="R56" s="35" t="s">
        <v>871</v>
      </c>
      <c r="S56" s="247" t="str">
        <f t="shared" si="11"/>
        <v>Unfilled fields to left</v>
      </c>
      <c r="U56" s="21"/>
      <c r="V56" s="19"/>
    </row>
    <row r="57" spans="2:22">
      <c r="B57" s="190" t="s">
        <v>592</v>
      </c>
      <c r="C57" s="188" t="s">
        <v>616</v>
      </c>
      <c r="D57" s="183" t="s">
        <v>747</v>
      </c>
      <c r="E57" s="35"/>
      <c r="F57" s="21"/>
      <c r="G57" s="21"/>
      <c r="H57" s="21"/>
      <c r="I57" s="21"/>
      <c r="J57" s="313"/>
      <c r="K57" s="313"/>
      <c r="L57" s="247">
        <f t="shared" si="10"/>
        <v>0</v>
      </c>
      <c r="M57" s="19"/>
      <c r="P57" s="307" t="str">
        <f t="shared" si="12"/>
        <v>Use column to right</v>
      </c>
      <c r="Q57" s="307" t="e">
        <f>INDEX(Assumptions!$F$5:$AJ$5,1,MATCH(Initial_questions!$E$24,Assumptions!$F$4:$AJ$4,0))*1000/Conversion_kWh_to_MJ</f>
        <v>#N/A</v>
      </c>
      <c r="R57" s="35" t="s">
        <v>896</v>
      </c>
      <c r="S57" s="247" t="str">
        <f t="shared" si="11"/>
        <v>Unfilled fields to left</v>
      </c>
      <c r="U57" s="21"/>
      <c r="V57" s="19"/>
    </row>
    <row r="58" spans="2:22">
      <c r="B58" s="16"/>
      <c r="C58" s="15"/>
      <c r="D58" s="183"/>
      <c r="E58" s="35"/>
      <c r="F58" s="21"/>
      <c r="G58" s="21"/>
      <c r="H58" s="21"/>
      <c r="I58" s="21"/>
      <c r="J58" s="313"/>
      <c r="K58" s="313"/>
      <c r="L58" s="247">
        <f t="shared" si="10"/>
        <v>0</v>
      </c>
      <c r="M58" s="19"/>
      <c r="P58" s="309"/>
      <c r="Q58" s="309"/>
      <c r="R58" s="309"/>
      <c r="S58" s="247" t="str">
        <f t="shared" si="11"/>
        <v>Unfilled fields to left</v>
      </c>
      <c r="U58" s="21"/>
      <c r="V58" s="19"/>
    </row>
    <row r="59" spans="2:22" s="14" customFormat="1">
      <c r="B59" s="81"/>
      <c r="C59" s="268"/>
      <c r="D59" s="268"/>
      <c r="E59" s="524"/>
      <c r="F59" s="82"/>
      <c r="G59" s="82"/>
      <c r="H59" s="266"/>
      <c r="I59" s="266"/>
      <c r="J59" s="260"/>
      <c r="K59" s="260"/>
      <c r="L59" s="260"/>
      <c r="M59" s="19"/>
      <c r="N59" s="19"/>
      <c r="O59" s="19"/>
      <c r="P59" s="260"/>
      <c r="Q59" s="260"/>
      <c r="R59" s="260"/>
      <c r="S59" s="260"/>
      <c r="U59" s="82"/>
    </row>
    <row r="60" spans="2:22" s="14" customFormat="1" ht="15.6">
      <c r="B60" s="149" t="s">
        <v>617</v>
      </c>
      <c r="C60" s="163"/>
      <c r="D60" s="163"/>
      <c r="E60" s="527"/>
      <c r="F60" s="164"/>
      <c r="G60" s="165"/>
      <c r="H60" s="164"/>
      <c r="I60" s="164"/>
      <c r="J60" s="314"/>
      <c r="K60" s="314"/>
      <c r="L60" s="314"/>
      <c r="M60" s="166"/>
      <c r="N60" s="167"/>
      <c r="O60" s="156"/>
      <c r="P60" s="314"/>
      <c r="Q60" s="314"/>
      <c r="R60" s="314"/>
      <c r="S60" s="157">
        <f>SUM(S61:S65)</f>
        <v>0</v>
      </c>
      <c r="U60" s="82"/>
    </row>
    <row r="61" spans="2:22" s="14" customFormat="1">
      <c r="B61" s="16" t="s">
        <v>811</v>
      </c>
      <c r="C61" s="188" t="s">
        <v>819</v>
      </c>
      <c r="D61" s="183" t="s">
        <v>582</v>
      </c>
      <c r="E61" s="35">
        <f>E46*$E$80*(1-$E$81)</f>
        <v>0</v>
      </c>
      <c r="F61" s="325"/>
      <c r="G61" s="325"/>
      <c r="H61" s="325"/>
      <c r="I61" s="325"/>
      <c r="J61" s="523"/>
      <c r="K61" s="35"/>
      <c r="L61" s="247">
        <f>IF($D61="MWh/yr (LHV)",$E61,$J61*$E61/Conversion_kWh_to_MJ)</f>
        <v>0</v>
      </c>
      <c r="M61" s="19"/>
      <c r="N61" s="19"/>
      <c r="O61" s="19"/>
      <c r="P61" s="307">
        <v>-1000</v>
      </c>
      <c r="Q61" s="505"/>
      <c r="R61" s="35" t="s">
        <v>828</v>
      </c>
      <c r="S61" s="247" t="str">
        <f>IFERROR(IF(D61="tonnes/yr", $P61*$E61/($L$9*3.6), $Q61*$E61*3.6/($L$9*3.6)), "Unfilled fields to left")</f>
        <v>Unfilled fields to left</v>
      </c>
      <c r="U61" s="21"/>
    </row>
    <row r="62" spans="2:22" s="14" customFormat="1">
      <c r="B62" s="16"/>
      <c r="C62" s="15"/>
      <c r="D62" s="183"/>
      <c r="E62" s="35"/>
      <c r="F62" s="66"/>
      <c r="G62" s="66"/>
      <c r="H62" s="66"/>
      <c r="I62" s="66"/>
      <c r="J62" s="311"/>
      <c r="K62" s="313"/>
      <c r="L62" s="247">
        <f>IF($D62="MWh/yr (LHV)",$E62,$J62*$E62/Conversion_kWh_to_MJ)</f>
        <v>0</v>
      </c>
      <c r="M62" s="19"/>
      <c r="N62" s="19"/>
      <c r="O62" s="19"/>
      <c r="P62" s="309"/>
      <c r="Q62" s="505"/>
      <c r="R62" s="309"/>
      <c r="S62" s="247" t="str">
        <f>IFERROR(IF(D62="tonnes/yr", $P62*$E62/($L$9*3.6), $Q62*$E62*3.6/($L$9*3.6)), "Unfilled fields to left")</f>
        <v>Unfilled fields to left</v>
      </c>
      <c r="U62" s="21"/>
    </row>
    <row r="63" spans="2:22" s="14" customFormat="1">
      <c r="B63" s="67"/>
      <c r="C63" s="15"/>
      <c r="D63" s="183"/>
      <c r="E63" s="35"/>
      <c r="F63" s="21"/>
      <c r="G63" s="21"/>
      <c r="H63" s="66"/>
      <c r="I63" s="66"/>
      <c r="J63" s="311"/>
      <c r="K63" s="313"/>
      <c r="L63" s="247">
        <f>IF($D63="MWh/yr (LHV)",$E63,$J63*$E63/Conversion_kWh_to_MJ)</f>
        <v>0</v>
      </c>
      <c r="M63" s="19"/>
      <c r="N63" s="19"/>
      <c r="O63" s="19"/>
      <c r="P63" s="315"/>
      <c r="Q63" s="505"/>
      <c r="R63" s="309"/>
      <c r="S63" s="247" t="str">
        <f>IFERROR(IF(D63="tonnes/yr", $P63*$E63/($L$9*3.6), $Q63*$E63*3.6/($L$9*3.6)), "Unfilled fields to left")</f>
        <v>Unfilled fields to left</v>
      </c>
      <c r="U63" s="68"/>
    </row>
    <row r="64" spans="2:22" s="14" customFormat="1">
      <c r="B64" s="67"/>
      <c r="C64" s="15"/>
      <c r="D64" s="183"/>
      <c r="E64" s="35"/>
      <c r="F64" s="21"/>
      <c r="G64" s="21"/>
      <c r="H64" s="21"/>
      <c r="I64" s="21"/>
      <c r="J64" s="313"/>
      <c r="K64" s="313"/>
      <c r="L64" s="247">
        <f>IF($D64="MWh/yr (LHV)",$E64,$J64*$E64/Conversion_kWh_to_MJ)</f>
        <v>0</v>
      </c>
      <c r="M64" s="19"/>
      <c r="N64" s="19"/>
      <c r="O64" s="19"/>
      <c r="P64" s="315"/>
      <c r="Q64" s="505"/>
      <c r="R64" s="309"/>
      <c r="S64" s="247" t="str">
        <f>IFERROR(IF(D64="tonnes/yr", $P64*$E64/($L$9*3.6), $Q64*$E64*3.6/($L$9*3.6)), "Unfilled fields to left")</f>
        <v>Unfilled fields to left</v>
      </c>
      <c r="U64" s="68"/>
    </row>
    <row r="65" spans="2:22" s="14" customFormat="1">
      <c r="B65" s="67"/>
      <c r="C65" s="15"/>
      <c r="D65" s="183"/>
      <c r="E65" s="35"/>
      <c r="F65" s="21"/>
      <c r="G65" s="21"/>
      <c r="H65" s="21"/>
      <c r="I65" s="21"/>
      <c r="J65" s="313"/>
      <c r="K65" s="313"/>
      <c r="L65" s="247">
        <f>IF($D65="MWh/yr (LHV)",$E65,$J65*$E65/Conversion_kWh_to_MJ)</f>
        <v>0</v>
      </c>
      <c r="M65" s="19"/>
      <c r="N65" s="19"/>
      <c r="O65" s="19"/>
      <c r="P65" s="315"/>
      <c r="Q65" s="505"/>
      <c r="R65" s="309"/>
      <c r="S65" s="247" t="str">
        <f>IFERROR(IF(D65="tonnes/yr", $P65*$E65/($L$9*3.6), $Q65*$E65*3.6/($L$9*3.6)), "Unfilled fields to left")</f>
        <v>Unfilled fields to left</v>
      </c>
      <c r="U65" s="68"/>
    </row>
    <row r="66" spans="2:22" s="14" customFormat="1">
      <c r="B66" s="81"/>
      <c r="C66" s="268"/>
      <c r="D66" s="268"/>
      <c r="E66" s="524"/>
      <c r="F66" s="82"/>
      <c r="G66" s="82"/>
      <c r="H66" s="266"/>
      <c r="I66" s="266"/>
      <c r="J66" s="260"/>
      <c r="K66" s="260"/>
      <c r="L66" s="260"/>
      <c r="M66" s="19"/>
      <c r="N66" s="19"/>
      <c r="O66" s="19"/>
      <c r="P66" s="260"/>
      <c r="Q66" s="260"/>
      <c r="R66" s="260"/>
      <c r="S66" s="260"/>
      <c r="U66" s="82"/>
    </row>
    <row r="67" spans="2:22" s="14" customFormat="1" ht="15.6">
      <c r="B67" s="149" t="s">
        <v>93</v>
      </c>
      <c r="C67" s="163"/>
      <c r="D67" s="163"/>
      <c r="E67" s="527"/>
      <c r="F67" s="164"/>
      <c r="G67" s="165"/>
      <c r="H67" s="164"/>
      <c r="I67" s="164"/>
      <c r="J67" s="314"/>
      <c r="K67" s="314"/>
      <c r="L67" s="314"/>
      <c r="M67" s="166"/>
      <c r="N67" s="167"/>
      <c r="O67" s="156"/>
      <c r="P67" s="314"/>
      <c r="Q67" s="314"/>
      <c r="R67" s="314"/>
      <c r="S67" s="157">
        <f>SUM(S68:S75)</f>
        <v>0</v>
      </c>
      <c r="U67" s="82"/>
    </row>
    <row r="68" spans="2:22" s="14" customFormat="1">
      <c r="B68" s="190" t="s">
        <v>618</v>
      </c>
      <c r="C68" s="188" t="s">
        <v>823</v>
      </c>
      <c r="D68" s="183" t="s">
        <v>582</v>
      </c>
      <c r="E68" s="35"/>
      <c r="F68" s="24"/>
      <c r="G68" s="21"/>
      <c r="H68" s="24"/>
      <c r="I68" s="24"/>
      <c r="J68" s="523"/>
      <c r="K68" s="35"/>
      <c r="L68" s="247">
        <f t="shared" ref="L68:L75" si="13">IF($D68="MWh/yr (LHV)",$E68,$J68*$E68/Conversion_kWh_to_MJ)</f>
        <v>0</v>
      </c>
      <c r="M68" s="19"/>
      <c r="N68" s="19"/>
      <c r="O68" s="19"/>
      <c r="P68" s="307">
        <f t="shared" ref="P68" si="14">28*1000</f>
        <v>28000</v>
      </c>
      <c r="Q68" s="505"/>
      <c r="R68" s="35" t="s">
        <v>651</v>
      </c>
      <c r="S68" s="247" t="str">
        <f t="shared" ref="S68:S75" si="15">IFERROR(IF(D68="tonnes/yr", $P68*$E68/($L$9*3.6), $Q68*$E68*3.6/($L$9*3.6)), "Unfilled fields to left")</f>
        <v>Unfilled fields to left</v>
      </c>
      <c r="U68" s="21"/>
    </row>
    <row r="69" spans="2:22" s="14" customFormat="1">
      <c r="B69" s="191" t="s">
        <v>619</v>
      </c>
      <c r="C69" s="188" t="s">
        <v>824</v>
      </c>
      <c r="D69" s="183" t="s">
        <v>582</v>
      </c>
      <c r="E69" s="35"/>
      <c r="F69" s="24"/>
      <c r="G69" s="68"/>
      <c r="H69" s="24"/>
      <c r="I69" s="24"/>
      <c r="J69" s="523"/>
      <c r="K69" s="35"/>
      <c r="L69" s="247">
        <f t="shared" si="13"/>
        <v>0</v>
      </c>
      <c r="M69" s="19"/>
      <c r="N69" s="19"/>
      <c r="O69" s="19"/>
      <c r="P69" s="307">
        <v>265000</v>
      </c>
      <c r="Q69" s="505"/>
      <c r="R69" s="35" t="s">
        <v>651</v>
      </c>
      <c r="S69" s="247" t="str">
        <f t="shared" si="15"/>
        <v>Unfilled fields to left</v>
      </c>
      <c r="U69" s="68"/>
    </row>
    <row r="70" spans="2:22" s="14" customFormat="1">
      <c r="B70" s="191" t="s">
        <v>620</v>
      </c>
      <c r="C70" s="188" t="s">
        <v>825</v>
      </c>
      <c r="D70" s="183" t="s">
        <v>582</v>
      </c>
      <c r="E70" s="35"/>
      <c r="F70" s="24"/>
      <c r="G70" s="68"/>
      <c r="H70" s="24"/>
      <c r="I70" s="24"/>
      <c r="J70" s="523"/>
      <c r="K70" s="35"/>
      <c r="L70" s="247">
        <f t="shared" si="13"/>
        <v>0</v>
      </c>
      <c r="M70" s="19"/>
      <c r="N70" s="19"/>
      <c r="O70" s="19"/>
      <c r="P70" s="307">
        <v>23500000</v>
      </c>
      <c r="Q70" s="505"/>
      <c r="R70" s="35" t="s">
        <v>651</v>
      </c>
      <c r="S70" s="247" t="str">
        <f t="shared" si="15"/>
        <v>Unfilled fields to left</v>
      </c>
      <c r="U70" s="68"/>
    </row>
    <row r="71" spans="2:22" s="14" customFormat="1">
      <c r="B71" s="191" t="s">
        <v>621</v>
      </c>
      <c r="C71" s="188" t="s">
        <v>826</v>
      </c>
      <c r="D71" s="183" t="s">
        <v>582</v>
      </c>
      <c r="E71" s="35"/>
      <c r="F71" s="24"/>
      <c r="G71" s="68"/>
      <c r="H71" s="24"/>
      <c r="I71" s="24"/>
      <c r="J71" s="523"/>
      <c r="K71" s="35"/>
      <c r="L71" s="247">
        <f t="shared" si="13"/>
        <v>0</v>
      </c>
      <c r="M71" s="19"/>
      <c r="N71" s="19"/>
      <c r="O71" s="19"/>
      <c r="P71" s="512" t="s">
        <v>622</v>
      </c>
      <c r="Q71" s="505"/>
      <c r="R71" s="35"/>
      <c r="S71" s="247" t="str">
        <f t="shared" si="15"/>
        <v>Unfilled fields to left</v>
      </c>
      <c r="U71" s="68"/>
    </row>
    <row r="72" spans="2:22" s="14" customFormat="1">
      <c r="B72" s="191" t="s">
        <v>621</v>
      </c>
      <c r="C72" s="188" t="s">
        <v>826</v>
      </c>
      <c r="D72" s="183" t="s">
        <v>582</v>
      </c>
      <c r="E72" s="35"/>
      <c r="F72" s="24"/>
      <c r="G72" s="68"/>
      <c r="H72" s="24"/>
      <c r="I72" s="24"/>
      <c r="J72" s="523"/>
      <c r="K72" s="35"/>
      <c r="L72" s="247">
        <f t="shared" si="13"/>
        <v>0</v>
      </c>
      <c r="M72" s="19"/>
      <c r="N72" s="19"/>
      <c r="O72" s="19"/>
      <c r="P72" s="512" t="s">
        <v>622</v>
      </c>
      <c r="Q72" s="505"/>
      <c r="R72" s="35"/>
      <c r="S72" s="247" t="str">
        <f t="shared" si="15"/>
        <v>Unfilled fields to left</v>
      </c>
      <c r="U72" s="68"/>
    </row>
    <row r="73" spans="2:22" s="14" customFormat="1">
      <c r="B73" s="191" t="s">
        <v>621</v>
      </c>
      <c r="C73" s="188" t="s">
        <v>826</v>
      </c>
      <c r="D73" s="183" t="s">
        <v>582</v>
      </c>
      <c r="E73" s="35"/>
      <c r="F73" s="24"/>
      <c r="G73" s="68"/>
      <c r="H73" s="24"/>
      <c r="I73" s="24"/>
      <c r="J73" s="523"/>
      <c r="K73" s="35"/>
      <c r="L73" s="247">
        <f t="shared" si="13"/>
        <v>0</v>
      </c>
      <c r="M73" s="19"/>
      <c r="N73" s="19"/>
      <c r="O73" s="19"/>
      <c r="P73" s="512" t="s">
        <v>622</v>
      </c>
      <c r="Q73" s="505"/>
      <c r="R73" s="35"/>
      <c r="S73" s="247" t="str">
        <f t="shared" si="15"/>
        <v>Unfilled fields to left</v>
      </c>
      <c r="U73" s="68"/>
    </row>
    <row r="74" spans="2:22" s="14" customFormat="1">
      <c r="B74" s="67"/>
      <c r="C74" s="15"/>
      <c r="D74" s="184"/>
      <c r="E74" s="528"/>
      <c r="F74" s="68"/>
      <c r="G74" s="68"/>
      <c r="H74" s="69"/>
      <c r="I74" s="69"/>
      <c r="J74" s="311"/>
      <c r="K74" s="315"/>
      <c r="L74" s="247">
        <f t="shared" si="13"/>
        <v>0</v>
      </c>
      <c r="M74" s="19"/>
      <c r="N74" s="19"/>
      <c r="O74" s="19"/>
      <c r="P74" s="309"/>
      <c r="Q74" s="505"/>
      <c r="R74" s="315"/>
      <c r="S74" s="247" t="str">
        <f t="shared" si="15"/>
        <v>Unfilled fields to left</v>
      </c>
      <c r="U74" s="68"/>
    </row>
    <row r="75" spans="2:22" s="14" customFormat="1">
      <c r="B75" s="67"/>
      <c r="C75" s="15"/>
      <c r="D75" s="184"/>
      <c r="E75" s="528"/>
      <c r="F75" s="68"/>
      <c r="G75" s="68"/>
      <c r="H75" s="69"/>
      <c r="I75" s="69"/>
      <c r="J75" s="313"/>
      <c r="K75" s="315"/>
      <c r="L75" s="247">
        <f t="shared" si="13"/>
        <v>0</v>
      </c>
      <c r="M75" s="19"/>
      <c r="N75" s="19"/>
      <c r="O75" s="19"/>
      <c r="P75" s="309"/>
      <c r="Q75" s="505"/>
      <c r="R75" s="315"/>
      <c r="S75" s="247" t="str">
        <f t="shared" si="15"/>
        <v>Unfilled fields to left</v>
      </c>
      <c r="U75" s="68"/>
    </row>
    <row r="76" spans="2:22">
      <c r="C76" s="17"/>
      <c r="D76" s="17"/>
      <c r="E76" s="144"/>
      <c r="F76" s="17"/>
      <c r="H76" s="18"/>
      <c r="I76" s="18"/>
      <c r="J76" s="40"/>
      <c r="K76" s="40"/>
      <c r="L76" s="40"/>
      <c r="M76" s="19"/>
      <c r="P76" s="40"/>
      <c r="Q76" s="40"/>
      <c r="R76" s="40"/>
      <c r="S76" s="40"/>
      <c r="V76" s="19"/>
    </row>
    <row r="77" spans="2:22">
      <c r="E77" s="117"/>
      <c r="I77" s="19"/>
      <c r="J77" s="117"/>
      <c r="K77" s="117"/>
      <c r="L77" s="117"/>
      <c r="M77" s="19"/>
      <c r="P77" s="129"/>
      <c r="Q77" s="129"/>
      <c r="R77" s="38" t="s">
        <v>641</v>
      </c>
      <c r="S77" s="157">
        <f>IF(OR(COUNTIF(Initial_questions!$E$95,"Default"), COUNTIF(Initial_questions!$E$97:$E$98,"Default")),"Default data selected",SUM(S20,S33,S45,S52,S60,S67))</f>
        <v>0</v>
      </c>
      <c r="V77" s="19"/>
    </row>
    <row r="78" spans="2:22">
      <c r="B78" s="149" t="s">
        <v>94</v>
      </c>
      <c r="C78" s="163"/>
      <c r="D78" s="163"/>
      <c r="E78" s="527"/>
      <c r="I78" s="19"/>
      <c r="J78" s="117"/>
      <c r="K78" s="117"/>
      <c r="L78" s="117"/>
      <c r="M78" s="19"/>
      <c r="P78" s="117"/>
      <c r="Q78" s="117"/>
      <c r="R78" s="117"/>
      <c r="S78" s="19"/>
      <c r="V78" s="19"/>
    </row>
    <row r="79" spans="2:22">
      <c r="B79" s="16" t="s">
        <v>626</v>
      </c>
      <c r="C79" s="15" t="s">
        <v>653</v>
      </c>
      <c r="D79" s="15" t="s">
        <v>628</v>
      </c>
      <c r="E79" s="529"/>
      <c r="H79" s="19"/>
      <c r="I79" s="19"/>
      <c r="J79" s="117"/>
      <c r="K79" s="117"/>
      <c r="L79" s="117"/>
      <c r="M79" s="19"/>
      <c r="P79" s="117"/>
      <c r="Q79" s="117"/>
      <c r="R79" s="117"/>
      <c r="S79" s="19"/>
      <c r="U79" s="25"/>
      <c r="V79" s="19"/>
    </row>
    <row r="80" spans="2:22">
      <c r="B80" s="16" t="s">
        <v>642</v>
      </c>
      <c r="C80" s="15" t="s">
        <v>652</v>
      </c>
      <c r="D80" s="15" t="s">
        <v>497</v>
      </c>
      <c r="E80" s="539">
        <f>Initial_questions!$E$85</f>
        <v>0</v>
      </c>
      <c r="I80" s="19"/>
      <c r="J80" s="117"/>
      <c r="K80" s="117"/>
      <c r="L80" s="117"/>
      <c r="M80" s="19"/>
      <c r="P80" s="117"/>
      <c r="Q80" s="117"/>
      <c r="R80" s="117"/>
      <c r="S80" s="19"/>
      <c r="U80" s="25"/>
      <c r="V80" s="19"/>
    </row>
    <row r="81" spans="2:22">
      <c r="B81" s="16" t="s">
        <v>654</v>
      </c>
      <c r="C81" s="15" t="s">
        <v>655</v>
      </c>
      <c r="D81" s="15" t="s">
        <v>497</v>
      </c>
      <c r="E81" s="539"/>
      <c r="H81" s="19"/>
      <c r="I81" s="19"/>
      <c r="J81" s="117"/>
      <c r="K81" s="117"/>
      <c r="L81" s="117"/>
      <c r="M81" s="19"/>
      <c r="P81" s="117"/>
      <c r="Q81" s="117"/>
      <c r="R81" s="117"/>
      <c r="S81" s="19"/>
      <c r="U81" s="25"/>
      <c r="V81" s="19"/>
    </row>
    <row r="82" spans="2:22">
      <c r="B82" s="16"/>
      <c r="C82" s="15"/>
      <c r="D82" s="15"/>
      <c r="E82" s="529"/>
      <c r="H82" s="19"/>
      <c r="I82" s="19"/>
      <c r="J82" s="117"/>
      <c r="K82" s="117"/>
      <c r="L82" s="117"/>
      <c r="M82" s="19"/>
      <c r="P82" s="129"/>
      <c r="Q82" s="129"/>
      <c r="R82" s="129"/>
      <c r="U82" s="25"/>
    </row>
    <row r="83" spans="2:22">
      <c r="E83" s="117"/>
      <c r="H83" s="19"/>
      <c r="I83" s="19"/>
      <c r="J83" s="117"/>
      <c r="K83" s="117"/>
      <c r="L83" s="117"/>
      <c r="M83" s="19"/>
      <c r="P83" s="129"/>
      <c r="Q83" s="129"/>
      <c r="R83" s="129"/>
    </row>
    <row r="84" spans="2:22">
      <c r="E84" s="117"/>
      <c r="J84" s="129"/>
      <c r="K84" s="129"/>
      <c r="P84" s="129"/>
      <c r="Q84" s="129"/>
      <c r="R84" s="129"/>
    </row>
    <row r="85" spans="2:22">
      <c r="E85" s="117"/>
      <c r="J85" s="129"/>
      <c r="K85" s="129"/>
      <c r="P85" s="129"/>
      <c r="Q85" s="129"/>
      <c r="R85" s="129"/>
    </row>
    <row r="86" spans="2:22">
      <c r="E86" s="117"/>
      <c r="J86" s="129"/>
      <c r="K86" s="129"/>
      <c r="P86" s="129"/>
      <c r="Q86" s="129"/>
      <c r="R86" s="129"/>
    </row>
    <row r="87" spans="2:22">
      <c r="E87" s="117"/>
      <c r="J87" s="129"/>
      <c r="K87" s="129"/>
      <c r="P87" s="129"/>
      <c r="Q87" s="129"/>
      <c r="R87" s="129"/>
    </row>
    <row r="88" spans="2:22">
      <c r="E88" s="117"/>
      <c r="J88" s="129"/>
      <c r="K88" s="129"/>
      <c r="P88" s="129"/>
      <c r="Q88" s="129"/>
      <c r="R88" s="129"/>
    </row>
    <row r="89" spans="2:22">
      <c r="E89" s="117"/>
      <c r="J89" s="129"/>
      <c r="K89" s="129"/>
      <c r="P89" s="129"/>
      <c r="Q89" s="129"/>
      <c r="R89" s="129"/>
    </row>
    <row r="90" spans="2:22">
      <c r="E90" s="117"/>
      <c r="J90" s="129"/>
      <c r="K90" s="129"/>
      <c r="P90" s="129"/>
      <c r="Q90" s="129"/>
      <c r="R90" s="129"/>
    </row>
    <row r="91" spans="2:22">
      <c r="E91" s="117"/>
      <c r="J91" s="129"/>
      <c r="K91" s="129"/>
      <c r="P91" s="129"/>
      <c r="Q91" s="129"/>
      <c r="R91" s="129"/>
    </row>
    <row r="92" spans="2:22">
      <c r="E92" s="117"/>
      <c r="J92" s="129"/>
      <c r="K92" s="129"/>
      <c r="P92" s="129"/>
      <c r="Q92" s="129"/>
      <c r="R92" s="129"/>
    </row>
    <row r="93" spans="2:22">
      <c r="E93" s="117"/>
      <c r="J93" s="129"/>
      <c r="K93" s="129"/>
      <c r="P93" s="129"/>
      <c r="Q93" s="129"/>
      <c r="R93" s="129"/>
    </row>
    <row r="94" spans="2:22">
      <c r="E94" s="117"/>
      <c r="J94" s="129"/>
      <c r="K94" s="129"/>
      <c r="P94" s="129"/>
      <c r="Q94" s="129"/>
      <c r="R94" s="129"/>
    </row>
    <row r="95" spans="2:22">
      <c r="E95" s="117"/>
      <c r="J95" s="129"/>
      <c r="K95" s="129"/>
      <c r="P95" s="129"/>
      <c r="Q95" s="129"/>
      <c r="R95" s="129"/>
    </row>
    <row r="96" spans="2:22">
      <c r="E96" s="117"/>
      <c r="J96" s="129"/>
      <c r="K96" s="129"/>
      <c r="P96" s="129"/>
      <c r="Q96" s="129"/>
      <c r="R96" s="129"/>
    </row>
    <row r="97" spans="5:18">
      <c r="E97" s="117"/>
      <c r="J97" s="129"/>
      <c r="K97" s="129"/>
      <c r="P97" s="129"/>
      <c r="Q97" s="129"/>
      <c r="R97" s="129"/>
    </row>
    <row r="98" spans="5:18">
      <c r="E98" s="117"/>
      <c r="J98" s="129"/>
      <c r="K98" s="129"/>
      <c r="P98" s="129"/>
      <c r="Q98" s="129"/>
      <c r="R98" s="129"/>
    </row>
    <row r="99" spans="5:18">
      <c r="E99" s="117"/>
      <c r="J99" s="129"/>
      <c r="K99" s="129"/>
      <c r="P99" s="129"/>
      <c r="Q99" s="129"/>
      <c r="R99" s="129"/>
    </row>
    <row r="100" spans="5:18">
      <c r="E100" s="117"/>
      <c r="J100" s="129"/>
      <c r="K100" s="129"/>
      <c r="P100" s="129"/>
      <c r="Q100" s="129"/>
      <c r="R100" s="129"/>
    </row>
    <row r="101" spans="5:18">
      <c r="E101" s="117"/>
      <c r="J101" s="129"/>
      <c r="K101" s="129"/>
      <c r="P101" s="129"/>
      <c r="Q101" s="129"/>
      <c r="R101" s="129"/>
    </row>
    <row r="102" spans="5:18">
      <c r="E102" s="117"/>
      <c r="J102" s="129"/>
      <c r="K102" s="129"/>
      <c r="P102" s="129"/>
      <c r="Q102" s="129"/>
      <c r="R102" s="129"/>
    </row>
    <row r="103" spans="5:18">
      <c r="E103" s="117"/>
      <c r="J103" s="129"/>
      <c r="K103" s="129"/>
      <c r="P103" s="129"/>
      <c r="Q103" s="129"/>
      <c r="R103" s="129"/>
    </row>
    <row r="104" spans="5:18">
      <c r="E104" s="117"/>
      <c r="J104" s="129"/>
      <c r="K104" s="129"/>
      <c r="P104" s="129"/>
      <c r="Q104" s="129"/>
      <c r="R104" s="129"/>
    </row>
    <row r="105" spans="5:18">
      <c r="E105" s="117"/>
      <c r="J105" s="129"/>
      <c r="K105" s="129"/>
      <c r="P105" s="129"/>
      <c r="Q105" s="129"/>
      <c r="R105" s="129"/>
    </row>
    <row r="106" spans="5:18">
      <c r="E106" s="117"/>
      <c r="J106" s="129"/>
      <c r="K106" s="129"/>
      <c r="P106" s="129"/>
      <c r="Q106" s="129"/>
      <c r="R106" s="129"/>
    </row>
    <row r="107" spans="5:18">
      <c r="E107" s="117"/>
      <c r="J107" s="129"/>
      <c r="K107" s="129"/>
      <c r="P107" s="129"/>
      <c r="Q107" s="129"/>
      <c r="R107" s="129"/>
    </row>
    <row r="108" spans="5:18">
      <c r="E108" s="117"/>
      <c r="J108" s="129"/>
      <c r="K108" s="129"/>
      <c r="P108" s="129"/>
      <c r="Q108" s="129"/>
      <c r="R108" s="129"/>
    </row>
    <row r="109" spans="5:18">
      <c r="E109" s="117"/>
      <c r="J109" s="129"/>
      <c r="K109" s="129"/>
      <c r="P109" s="129"/>
      <c r="Q109" s="129"/>
      <c r="R109" s="129"/>
    </row>
    <row r="110" spans="5:18">
      <c r="E110" s="117"/>
      <c r="J110" s="129"/>
      <c r="K110" s="129"/>
      <c r="P110" s="129"/>
      <c r="Q110" s="129"/>
      <c r="R110" s="129"/>
    </row>
    <row r="111" spans="5:18">
      <c r="E111" s="117"/>
      <c r="J111" s="129"/>
      <c r="K111" s="129"/>
      <c r="P111" s="129"/>
      <c r="Q111" s="129"/>
      <c r="R111" s="129"/>
    </row>
    <row r="112" spans="5:18">
      <c r="E112" s="117"/>
      <c r="J112" s="129"/>
      <c r="K112" s="129"/>
      <c r="P112" s="129"/>
      <c r="Q112" s="129"/>
      <c r="R112" s="129"/>
    </row>
    <row r="113" spans="5:18">
      <c r="E113" s="117"/>
      <c r="J113" s="129"/>
      <c r="K113" s="129"/>
      <c r="P113" s="129"/>
      <c r="Q113" s="129"/>
      <c r="R113" s="129"/>
    </row>
    <row r="114" spans="5:18">
      <c r="E114" s="117"/>
      <c r="J114" s="129"/>
      <c r="K114" s="129"/>
      <c r="P114" s="129"/>
      <c r="Q114" s="129"/>
      <c r="R114" s="129"/>
    </row>
    <row r="115" spans="5:18">
      <c r="E115" s="117"/>
      <c r="J115" s="129"/>
      <c r="K115" s="129"/>
      <c r="P115" s="129"/>
      <c r="Q115" s="129"/>
      <c r="R115" s="129"/>
    </row>
    <row r="116" spans="5:18">
      <c r="E116" s="117"/>
      <c r="J116" s="129"/>
      <c r="K116" s="129"/>
      <c r="P116" s="129"/>
      <c r="Q116" s="129"/>
      <c r="R116" s="129"/>
    </row>
    <row r="117" spans="5:18">
      <c r="E117" s="117"/>
      <c r="J117" s="129"/>
      <c r="K117" s="129"/>
      <c r="P117" s="129"/>
      <c r="Q117" s="129"/>
      <c r="R117" s="129"/>
    </row>
    <row r="118" spans="5:18">
      <c r="E118" s="117"/>
      <c r="J118" s="129"/>
      <c r="K118" s="129"/>
      <c r="P118" s="129"/>
      <c r="Q118" s="129"/>
      <c r="R118" s="129"/>
    </row>
    <row r="119" spans="5:18">
      <c r="E119" s="117"/>
      <c r="J119" s="129"/>
      <c r="K119" s="129"/>
      <c r="P119" s="129"/>
      <c r="Q119" s="129"/>
      <c r="R119" s="129"/>
    </row>
    <row r="120" spans="5:18">
      <c r="E120" s="117"/>
      <c r="J120" s="129"/>
      <c r="K120" s="129"/>
      <c r="P120" s="129"/>
      <c r="Q120" s="129"/>
      <c r="R120" s="129"/>
    </row>
    <row r="121" spans="5:18">
      <c r="E121" s="117"/>
      <c r="J121" s="129"/>
      <c r="K121" s="129"/>
      <c r="P121" s="129"/>
      <c r="Q121" s="129"/>
      <c r="R121" s="129"/>
    </row>
    <row r="122" spans="5:18">
      <c r="E122" s="117"/>
      <c r="J122" s="129"/>
      <c r="K122" s="129"/>
      <c r="P122" s="129"/>
      <c r="Q122" s="129"/>
      <c r="R122" s="129"/>
    </row>
    <row r="123" spans="5:18">
      <c r="E123" s="117"/>
      <c r="P123" s="129"/>
      <c r="Q123" s="129"/>
      <c r="R123" s="129"/>
    </row>
    <row r="124" spans="5:18">
      <c r="E124" s="117"/>
      <c r="P124" s="129"/>
      <c r="Q124" s="129"/>
      <c r="R124" s="129"/>
    </row>
    <row r="125" spans="5:18">
      <c r="E125" s="117"/>
      <c r="P125" s="129"/>
      <c r="Q125" s="129"/>
      <c r="R125" s="129"/>
    </row>
    <row r="126" spans="5:18">
      <c r="E126" s="117"/>
      <c r="P126" s="129"/>
      <c r="Q126" s="129"/>
      <c r="R126" s="129"/>
    </row>
    <row r="127" spans="5:18">
      <c r="E127" s="117"/>
      <c r="P127" s="129"/>
      <c r="Q127" s="129"/>
      <c r="R127" s="129"/>
    </row>
    <row r="128" spans="5:18">
      <c r="E128" s="117"/>
      <c r="P128" s="129"/>
      <c r="Q128" s="129"/>
      <c r="R128" s="129"/>
    </row>
    <row r="129" spans="5:18">
      <c r="E129" s="117"/>
      <c r="P129" s="129"/>
      <c r="Q129" s="129"/>
      <c r="R129" s="129"/>
    </row>
    <row r="130" spans="5:18">
      <c r="E130" s="117"/>
      <c r="P130" s="129"/>
      <c r="Q130" s="129"/>
      <c r="R130" s="129"/>
    </row>
    <row r="131" spans="5:18">
      <c r="E131" s="117"/>
      <c r="P131" s="129"/>
      <c r="Q131" s="129"/>
      <c r="R131" s="129"/>
    </row>
    <row r="132" spans="5:18">
      <c r="E132" s="117"/>
      <c r="P132" s="129"/>
      <c r="Q132" s="129"/>
      <c r="R132" s="129"/>
    </row>
    <row r="133" spans="5:18">
      <c r="E133" s="117"/>
      <c r="P133" s="129"/>
      <c r="Q133" s="129"/>
      <c r="R133" s="129"/>
    </row>
    <row r="134" spans="5:18">
      <c r="E134" s="117"/>
      <c r="P134" s="129"/>
      <c r="Q134" s="129"/>
      <c r="R134" s="129"/>
    </row>
    <row r="135" spans="5:18">
      <c r="E135" s="117"/>
      <c r="P135" s="129"/>
      <c r="Q135" s="129"/>
      <c r="R135" s="129"/>
    </row>
    <row r="136" spans="5:18">
      <c r="E136" s="117"/>
      <c r="P136" s="129"/>
      <c r="Q136" s="129"/>
      <c r="R136" s="129"/>
    </row>
    <row r="137" spans="5:18">
      <c r="E137" s="117"/>
      <c r="P137" s="129"/>
      <c r="Q137" s="129"/>
      <c r="R137" s="129"/>
    </row>
    <row r="138" spans="5:18">
      <c r="E138" s="117"/>
      <c r="P138" s="129"/>
      <c r="Q138" s="129"/>
      <c r="R138" s="129"/>
    </row>
    <row r="139" spans="5:18">
      <c r="E139" s="117"/>
      <c r="P139" s="129"/>
      <c r="Q139" s="129"/>
      <c r="R139" s="129"/>
    </row>
    <row r="140" spans="5:18">
      <c r="E140" s="117"/>
      <c r="P140" s="129"/>
      <c r="Q140" s="129"/>
      <c r="R140" s="129"/>
    </row>
    <row r="141" spans="5:18">
      <c r="E141" s="117"/>
      <c r="P141" s="129"/>
      <c r="Q141" s="129"/>
      <c r="R141" s="129"/>
    </row>
    <row r="142" spans="5:18">
      <c r="E142" s="117"/>
      <c r="P142" s="129"/>
      <c r="Q142" s="129"/>
      <c r="R142" s="129"/>
    </row>
    <row r="143" spans="5:18">
      <c r="E143" s="117"/>
      <c r="P143" s="129"/>
      <c r="Q143" s="129"/>
      <c r="R143" s="129"/>
    </row>
    <row r="144" spans="5:18">
      <c r="E144" s="117"/>
      <c r="P144" s="129"/>
      <c r="Q144" s="129"/>
      <c r="R144" s="129"/>
    </row>
    <row r="145" spans="5:18">
      <c r="E145" s="117"/>
      <c r="P145" s="129"/>
      <c r="Q145" s="129"/>
      <c r="R145" s="129"/>
    </row>
    <row r="146" spans="5:18">
      <c r="E146" s="117"/>
      <c r="P146" s="129"/>
      <c r="Q146" s="129"/>
      <c r="R146" s="129"/>
    </row>
    <row r="147" spans="5:18">
      <c r="E147" s="117"/>
      <c r="P147" s="129"/>
      <c r="Q147" s="129"/>
      <c r="R147" s="129"/>
    </row>
    <row r="148" spans="5:18">
      <c r="E148" s="262"/>
      <c r="P148" s="129"/>
      <c r="Q148" s="129"/>
      <c r="R148" s="129"/>
    </row>
    <row r="149" spans="5:18">
      <c r="E149" s="262"/>
      <c r="P149" s="129"/>
      <c r="Q149" s="129"/>
      <c r="R149" s="129"/>
    </row>
    <row r="150" spans="5:18">
      <c r="E150" s="262"/>
      <c r="P150" s="129"/>
      <c r="Q150" s="129"/>
      <c r="R150" s="129"/>
    </row>
    <row r="151" spans="5:18">
      <c r="E151" s="262"/>
      <c r="P151" s="129"/>
      <c r="Q151" s="129"/>
      <c r="R151" s="129"/>
    </row>
    <row r="152" spans="5:18">
      <c r="E152" s="262"/>
      <c r="P152" s="129"/>
      <c r="Q152" s="129"/>
      <c r="R152" s="129"/>
    </row>
    <row r="153" spans="5:18">
      <c r="E153" s="262"/>
      <c r="P153" s="129"/>
      <c r="Q153" s="129"/>
      <c r="R153" s="129"/>
    </row>
    <row r="154" spans="5:18">
      <c r="E154" s="262"/>
      <c r="P154" s="129"/>
      <c r="Q154" s="129"/>
      <c r="R154" s="129"/>
    </row>
    <row r="155" spans="5:18">
      <c r="E155" s="262"/>
      <c r="P155" s="129"/>
      <c r="Q155" s="129"/>
      <c r="R155" s="129"/>
    </row>
    <row r="156" spans="5:18">
      <c r="E156" s="262"/>
      <c r="P156" s="129"/>
      <c r="Q156" s="129"/>
      <c r="R156" s="129"/>
    </row>
    <row r="157" spans="5:18">
      <c r="E157" s="262"/>
      <c r="P157" s="129"/>
      <c r="Q157" s="129"/>
      <c r="R157" s="129"/>
    </row>
    <row r="158" spans="5:18">
      <c r="E158" s="262"/>
      <c r="P158" s="129"/>
      <c r="Q158" s="129"/>
      <c r="R158" s="129"/>
    </row>
    <row r="159" spans="5:18">
      <c r="E159" s="262"/>
      <c r="P159" s="129"/>
      <c r="Q159" s="129"/>
      <c r="R159" s="129"/>
    </row>
    <row r="160" spans="5:18">
      <c r="E160" s="262"/>
      <c r="P160" s="129"/>
      <c r="Q160" s="129"/>
      <c r="R160" s="129"/>
    </row>
    <row r="161" spans="5:18">
      <c r="E161" s="262"/>
      <c r="P161" s="129"/>
      <c r="Q161" s="129"/>
      <c r="R161" s="129"/>
    </row>
    <row r="162" spans="5:18">
      <c r="E162" s="262"/>
      <c r="P162" s="129"/>
      <c r="Q162" s="129"/>
      <c r="R162" s="129"/>
    </row>
    <row r="163" spans="5:18">
      <c r="E163" s="262"/>
      <c r="P163" s="129"/>
      <c r="Q163" s="129"/>
      <c r="R163" s="129"/>
    </row>
    <row r="164" spans="5:18">
      <c r="E164" s="262"/>
      <c r="P164" s="129"/>
      <c r="Q164" s="129"/>
      <c r="R164" s="129"/>
    </row>
    <row r="165" spans="5:18">
      <c r="E165" s="262"/>
      <c r="P165" s="129"/>
      <c r="Q165" s="129"/>
      <c r="R165" s="129"/>
    </row>
    <row r="166" spans="5:18">
      <c r="E166" s="262"/>
      <c r="P166" s="129"/>
      <c r="Q166" s="129"/>
      <c r="R166" s="129"/>
    </row>
    <row r="167" spans="5:18">
      <c r="E167" s="262"/>
      <c r="P167" s="129"/>
      <c r="Q167" s="129"/>
      <c r="R167" s="129"/>
    </row>
    <row r="168" spans="5:18">
      <c r="E168" s="262"/>
      <c r="P168" s="129"/>
      <c r="Q168" s="129"/>
      <c r="R168" s="129"/>
    </row>
    <row r="169" spans="5:18">
      <c r="E169" s="262"/>
      <c r="P169" s="129"/>
      <c r="Q169" s="129"/>
      <c r="R169" s="129"/>
    </row>
    <row r="170" spans="5:18">
      <c r="E170" s="262"/>
      <c r="P170" s="129"/>
      <c r="Q170" s="129"/>
      <c r="R170" s="129"/>
    </row>
    <row r="171" spans="5:18">
      <c r="E171" s="262"/>
      <c r="P171" s="129"/>
      <c r="Q171" s="129"/>
      <c r="R171" s="129"/>
    </row>
    <row r="172" spans="5:18">
      <c r="E172" s="262"/>
      <c r="P172" s="129"/>
      <c r="Q172" s="129"/>
      <c r="R172" s="129"/>
    </row>
    <row r="173" spans="5:18">
      <c r="E173" s="262"/>
      <c r="P173" s="129"/>
      <c r="Q173" s="129"/>
      <c r="R173" s="129"/>
    </row>
    <row r="174" spans="5:18">
      <c r="E174" s="262"/>
      <c r="P174" s="129"/>
      <c r="Q174" s="129"/>
      <c r="R174" s="129"/>
    </row>
    <row r="175" spans="5:18">
      <c r="E175" s="262"/>
      <c r="P175" s="129"/>
      <c r="Q175" s="129"/>
      <c r="R175" s="129"/>
    </row>
    <row r="176" spans="5:18">
      <c r="E176" s="262"/>
      <c r="P176" s="129"/>
      <c r="Q176" s="129"/>
      <c r="R176" s="129"/>
    </row>
    <row r="177" spans="5:18">
      <c r="E177" s="262"/>
      <c r="P177" s="129"/>
      <c r="Q177" s="129"/>
      <c r="R177" s="129"/>
    </row>
    <row r="178" spans="5:18">
      <c r="E178" s="262"/>
      <c r="P178" s="129"/>
      <c r="Q178" s="129"/>
      <c r="R178" s="129"/>
    </row>
    <row r="179" spans="5:18">
      <c r="E179" s="262"/>
      <c r="P179" s="129"/>
      <c r="Q179" s="129"/>
      <c r="R179" s="129"/>
    </row>
    <row r="180" spans="5:18">
      <c r="E180" s="262"/>
      <c r="P180" s="129"/>
      <c r="Q180" s="129"/>
      <c r="R180" s="129"/>
    </row>
    <row r="181" spans="5:18">
      <c r="E181" s="262"/>
      <c r="P181" s="129"/>
      <c r="Q181" s="129"/>
      <c r="R181" s="129"/>
    </row>
    <row r="182" spans="5:18">
      <c r="E182" s="262"/>
      <c r="P182" s="129"/>
      <c r="Q182" s="129"/>
      <c r="R182" s="129"/>
    </row>
    <row r="183" spans="5:18">
      <c r="E183" s="262"/>
      <c r="P183" s="129"/>
      <c r="Q183" s="129"/>
      <c r="R183" s="129"/>
    </row>
    <row r="184" spans="5:18">
      <c r="E184" s="262"/>
      <c r="P184" s="129"/>
      <c r="Q184" s="129"/>
      <c r="R184" s="129"/>
    </row>
    <row r="185" spans="5:18">
      <c r="E185" s="262"/>
      <c r="P185" s="129"/>
      <c r="Q185" s="129"/>
      <c r="R185" s="129"/>
    </row>
    <row r="186" spans="5:18">
      <c r="E186" s="262"/>
      <c r="P186" s="129"/>
      <c r="Q186" s="129"/>
      <c r="R186" s="129"/>
    </row>
    <row r="187" spans="5:18">
      <c r="E187" s="262"/>
      <c r="P187" s="129"/>
      <c r="Q187" s="129"/>
      <c r="R187" s="129"/>
    </row>
    <row r="188" spans="5:18">
      <c r="E188" s="262"/>
      <c r="P188" s="129"/>
      <c r="Q188" s="129"/>
      <c r="R188" s="129"/>
    </row>
    <row r="189" spans="5:18">
      <c r="E189" s="262"/>
      <c r="P189" s="129"/>
      <c r="Q189" s="129"/>
      <c r="R189" s="129"/>
    </row>
    <row r="190" spans="5:18">
      <c r="E190" s="262"/>
    </row>
    <row r="191" spans="5:18">
      <c r="E191" s="262"/>
    </row>
    <row r="192" spans="5:18">
      <c r="E192" s="262"/>
    </row>
    <row r="193" spans="5:5">
      <c r="E193" s="262"/>
    </row>
    <row r="194" spans="5:5">
      <c r="E194" s="262"/>
    </row>
    <row r="195" spans="5:5">
      <c r="E195" s="262"/>
    </row>
    <row r="196" spans="5:5">
      <c r="E196" s="262"/>
    </row>
    <row r="197" spans="5:5">
      <c r="E197" s="262"/>
    </row>
    <row r="198" spans="5:5">
      <c r="E198" s="262"/>
    </row>
    <row r="199" spans="5:5">
      <c r="E199" s="262"/>
    </row>
    <row r="200" spans="5:5">
      <c r="E200" s="262"/>
    </row>
    <row r="201" spans="5:5">
      <c r="E201" s="262"/>
    </row>
    <row r="202" spans="5:5">
      <c r="E202" s="262"/>
    </row>
    <row r="203" spans="5:5">
      <c r="E203" s="262"/>
    </row>
    <row r="204" spans="5:5">
      <c r="E204" s="262"/>
    </row>
    <row r="205" spans="5:5">
      <c r="E205" s="262"/>
    </row>
    <row r="206" spans="5:5">
      <c r="E206" s="262"/>
    </row>
    <row r="207" spans="5:5">
      <c r="E207" s="262"/>
    </row>
    <row r="208" spans="5:5">
      <c r="E208" s="262"/>
    </row>
    <row r="209" spans="5:5">
      <c r="E209" s="262"/>
    </row>
    <row r="210" spans="5:5">
      <c r="E210" s="262"/>
    </row>
    <row r="211" spans="5:5">
      <c r="E211" s="262"/>
    </row>
    <row r="212" spans="5:5">
      <c r="E212" s="262"/>
    </row>
    <row r="213" spans="5:5">
      <c r="E213" s="262"/>
    </row>
    <row r="214" spans="5:5">
      <c r="E214" s="262"/>
    </row>
    <row r="215" spans="5:5">
      <c r="E215" s="262"/>
    </row>
    <row r="216" spans="5:5">
      <c r="E216" s="262"/>
    </row>
    <row r="217" spans="5:5">
      <c r="E217" s="262"/>
    </row>
    <row r="218" spans="5:5">
      <c r="E218" s="262"/>
    </row>
    <row r="219" spans="5:5">
      <c r="E219" s="262"/>
    </row>
    <row r="220" spans="5:5">
      <c r="E220" s="262"/>
    </row>
    <row r="221" spans="5:5">
      <c r="E221" s="262"/>
    </row>
    <row r="222" spans="5:5">
      <c r="E222" s="262"/>
    </row>
    <row r="223" spans="5:5">
      <c r="E223" s="262"/>
    </row>
    <row r="224" spans="5:5">
      <c r="E224" s="262"/>
    </row>
    <row r="225" spans="5:5">
      <c r="E225" s="262"/>
    </row>
    <row r="226" spans="5:5">
      <c r="E226" s="262"/>
    </row>
    <row r="227" spans="5:5">
      <c r="E227" s="262"/>
    </row>
    <row r="228" spans="5:5">
      <c r="E228" s="262"/>
    </row>
    <row r="229" spans="5:5">
      <c r="E229" s="262"/>
    </row>
    <row r="230" spans="5:5">
      <c r="E230" s="262"/>
    </row>
    <row r="231" spans="5:5">
      <c r="E231" s="262"/>
    </row>
    <row r="232" spans="5:5">
      <c r="E232" s="262"/>
    </row>
    <row r="233" spans="5:5">
      <c r="E233" s="262"/>
    </row>
    <row r="234" spans="5:5">
      <c r="E234" s="262"/>
    </row>
    <row r="235" spans="5:5">
      <c r="E235" s="262"/>
    </row>
    <row r="236" spans="5:5">
      <c r="E236" s="262"/>
    </row>
    <row r="237" spans="5:5">
      <c r="E237" s="262"/>
    </row>
    <row r="238" spans="5:5">
      <c r="E238" s="262"/>
    </row>
    <row r="239" spans="5:5">
      <c r="E239" s="262"/>
    </row>
    <row r="240" spans="5:5">
      <c r="E240" s="262"/>
    </row>
    <row r="241" spans="5:5">
      <c r="E241" s="262"/>
    </row>
    <row r="242" spans="5:5">
      <c r="E242" s="262"/>
    </row>
    <row r="243" spans="5:5">
      <c r="E243" s="262"/>
    </row>
    <row r="244" spans="5:5">
      <c r="E244" s="262"/>
    </row>
    <row r="245" spans="5:5">
      <c r="E245" s="262"/>
    </row>
    <row r="246" spans="5:5">
      <c r="E246" s="262"/>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46:D50 D34:D43 D53:D58 D61:D65 D20:D30 D68:D75 D8 D10:D17" xr:uid="{C764CFA3-01E4-4CE3-A504-4F5FD23DA169}">
      <formula1>Flow_units</formula1>
    </dataValidation>
    <dataValidation type="custom" allowBlank="1" showInputMessage="1" showErrorMessage="1" error="Please do not change this formula" prompt="Please do not change this formula" sqref="M4 T4 L1:L1048576 N5:S5 S1:S4 N1:O4 N6:O1048576 S78:S1048576 S6:S74 S75:S77" xr:uid="{F2EB5756-7452-4348-BF54-2C566F0C4010}">
      <formula1>"Please do not change this formula"</formula1>
    </dataValidation>
  </dataValidations>
  <hyperlinks>
    <hyperlink ref="I2:J2" location="GHG_FOSSIL_NG_REFORM_CCS!A1" display="Go to the summary tab of this pathway" xr:uid="{9C4AD1F2-51C6-40E7-972E-EDD2E5046E99}"/>
    <hyperlink ref="I2:K2" location="GHG_FOSSIL_REFORM_CCS!A1" display="Go to the summary tab of this pathway" xr:uid="{1DE96151-43F0-4D55-8DE5-93FA1BE297CD}"/>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27" id="{D49DAEC8-D71E-4181-A757-26663ACF952B}">
            <xm:f>AND(Initial_questions!$E$21&lt;&gt;"Fossil Steam Methane Reformer (SMR) with CCS",Initial_questions!$E$21&lt;&gt;"Biomethane Steam Methane Reformer (SMR) without CCS", Initial_questions!$E$21&lt;&gt;"Biomethane Autothermal Reformer (ATR) with CCS",Initial_questions!$E$21&lt;&gt;"Fossil Autothermal Reformer (ATR) with CCS",Initial_questions!$E$21&lt;&gt;"Fossil Partial Oxidation (POX) with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28" id="{B712EE8E-3E59-4F20-A406-EB1AE6CB33AF}">
            <xm:f>AND(GHG_FOSSIL_REFORM_CCS!$D$7="Default",Master_Switch="On")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9" id="{E7C890C1-FE50-423F-80C7-2FE6CEFF4395}">
            <xm:f>AND(GHG_FOSSIL_REFORM_CCS!$D$8="Default",Master_Switch="On")</xm:f>
            <x14:dxf>
              <font>
                <color theme="0"/>
              </font>
              <fill>
                <patternFill>
                  <bgColor theme="0"/>
                </patternFill>
              </fill>
              <border>
                <left/>
                <right/>
                <top/>
                <bottom/>
                <vertical/>
                <horizontal/>
              </border>
            </x14:dxf>
          </x14:cfRule>
          <xm:sqref>A34:XFD43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EB010C9-2539-4F37-B3CB-8EA46BB97D03}">
          <x14:formula1>
            <xm:f>Units!$X$120</xm:f>
          </x14:formula1>
          <xm:sqref>D9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CCCDF-8EBF-4A78-A745-9C901DED46CE}">
  <sheetPr codeName="Sheet45">
    <tabColor rgb="FFFF9900"/>
  </sheetPr>
  <dimension ref="A1:Z190"/>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7"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IF(AND(Initial_questions!$E$21&lt;&gt;"Biomethane Steam Methane Reformer (SMR) with CCS",Initial_questions!$E$21&lt;&gt;"Biomethane Steam Methane Reformer (SMR) without CCS", Initial_questions!$E$21&lt;&gt;"Biomethane Autothermal Reformer (ATR) with CCS",Initial_questions!$E$21&lt;&gt;"Biomethane Autothermal Reformer (ATR) without CCS",Master_Switch="On"),"User should not fill in this sheet, but switch to other non-blank GHG worksheets","")</f>
        <v>User should not fill in this sheet, but switch to other non-blank GHG worksheets</v>
      </c>
      <c r="E1" s="262"/>
    </row>
    <row r="2" spans="1:26" ht="20.399999999999999" customHeight="1">
      <c r="B2" s="83" t="str">
        <f>IF(AND(Initial_questions!$E$62&lt;&gt;"Cereals and other starch-rich crops", Initial_questions!$E$62&lt;&gt;"Sugar crops", Initial_questions!$E$62&lt;&gt;"Oil crops", Initial_questions!$E$62&lt;&gt;"Other crop",Master_Switch="On"),"Not a purpose-grown feedstock, move to the next step of the pathway","")</f>
        <v>Not a purpose-grown feedstock, move to the next step of the pathway</v>
      </c>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90" t="s">
        <v>592</v>
      </c>
      <c r="C8" s="188"/>
      <c r="D8" s="183"/>
      <c r="E8" s="313"/>
      <c r="F8" s="21"/>
      <c r="G8" s="21"/>
      <c r="H8" s="20"/>
      <c r="I8" s="486"/>
      <c r="J8" s="309"/>
      <c r="K8" s="309"/>
      <c r="L8" s="247">
        <f t="shared" ref="L8:L17" si="0">IF($D8="MWh/yr (LHV)",$E8,$J8*$E8/Conversion_kWh_to_MJ)</f>
        <v>0</v>
      </c>
      <c r="M8" s="12"/>
      <c r="P8" s="35"/>
      <c r="Q8" s="35"/>
      <c r="R8" s="35"/>
      <c r="S8" s="247" t="str">
        <f t="shared" ref="S8:S17" si="1">IFERROR(IF(D8="tonnes/yr", $P8*$E8/($L$20*3.6), $Q8*$E8*3.6/($L$20*3.6)), "Unfilled fields to left")</f>
        <v>Unfilled fields to left</v>
      </c>
      <c r="U8" s="25"/>
      <c r="V8" s="12"/>
    </row>
    <row r="9" spans="1:26">
      <c r="B9" s="190" t="s">
        <v>592</v>
      </c>
      <c r="C9" s="188" t="s">
        <v>646</v>
      </c>
      <c r="D9" s="183" t="s">
        <v>747</v>
      </c>
      <c r="E9" s="313"/>
      <c r="F9" s="21"/>
      <c r="G9" s="21"/>
      <c r="H9" s="20"/>
      <c r="I9" s="486"/>
      <c r="J9" s="309"/>
      <c r="K9" s="309"/>
      <c r="L9" s="247">
        <f t="shared" si="0"/>
        <v>0</v>
      </c>
      <c r="M9" s="12"/>
      <c r="P9" s="35" t="str">
        <f>IF(B9="", "", IF(D9="MWh/yr (LHV)", "Use column to right", "Enter data here"))</f>
        <v>Use column to right</v>
      </c>
      <c r="Q9" s="35" t="e">
        <f>INDEX(Assumptions!$F$5:$AJ$5,1,MATCH(Initial_questions!$E$24,Assumptions!$F$4:$AJ$4,0))*1000/Conversion_kWh_to_MJ</f>
        <v>#N/A</v>
      </c>
      <c r="R9" s="35" t="s">
        <v>896</v>
      </c>
      <c r="S9" s="247" t="str">
        <f t="shared" si="1"/>
        <v>Unfilled fields to left</v>
      </c>
      <c r="U9" s="25"/>
      <c r="V9" s="12"/>
    </row>
    <row r="10" spans="1:26">
      <c r="B10" s="190" t="s">
        <v>599</v>
      </c>
      <c r="C10" s="188" t="s">
        <v>600</v>
      </c>
      <c r="D10" s="183" t="s">
        <v>582</v>
      </c>
      <c r="E10" s="313"/>
      <c r="F10" s="21"/>
      <c r="G10" s="21"/>
      <c r="H10" s="20"/>
      <c r="I10" s="486"/>
      <c r="J10" s="309"/>
      <c r="K10" s="309"/>
      <c r="L10" s="247">
        <f t="shared" si="0"/>
        <v>0</v>
      </c>
      <c r="M10" s="12"/>
      <c r="P10" s="35" t="str">
        <f t="shared" ref="P10:P14" si="2">IF(B10="", "", IF(D10="MWh/yr (LHV)", "Use column to right", "Enter data here"))</f>
        <v>Enter data here</v>
      </c>
      <c r="Q10" s="35" t="str">
        <f t="shared" ref="Q10:Q14" si="3">IF(B10="", "", IF(D10="MWh/yr (LHV)", "Enter data here", "Use column to left"))</f>
        <v>Use column to left</v>
      </c>
      <c r="R10" s="35" t="s">
        <v>898</v>
      </c>
      <c r="S10" s="247" t="str">
        <f t="shared" si="1"/>
        <v>Unfilled fields to left</v>
      </c>
      <c r="U10" s="25"/>
      <c r="V10" s="12"/>
    </row>
    <row r="11" spans="1:26">
      <c r="B11" s="190" t="s">
        <v>599</v>
      </c>
      <c r="C11" s="188" t="s">
        <v>601</v>
      </c>
      <c r="D11" s="183" t="s">
        <v>582</v>
      </c>
      <c r="E11" s="313"/>
      <c r="F11" s="21"/>
      <c r="G11" s="21"/>
      <c r="H11" s="20"/>
      <c r="I11" s="486"/>
      <c r="J11" s="309"/>
      <c r="K11" s="309"/>
      <c r="L11" s="247">
        <f t="shared" si="0"/>
        <v>0</v>
      </c>
      <c r="M11" s="12"/>
      <c r="P11" s="35" t="str">
        <f t="shared" si="2"/>
        <v>Enter data here</v>
      </c>
      <c r="Q11" s="35" t="str">
        <f t="shared" si="3"/>
        <v>Use column to left</v>
      </c>
      <c r="R11" s="35" t="s">
        <v>898</v>
      </c>
      <c r="S11" s="247" t="str">
        <f t="shared" si="1"/>
        <v>Unfilled fields to left</v>
      </c>
      <c r="U11" s="25"/>
      <c r="V11" s="12"/>
    </row>
    <row r="12" spans="1:26">
      <c r="B12" s="190" t="s">
        <v>605</v>
      </c>
      <c r="C12" s="188" t="s">
        <v>656</v>
      </c>
      <c r="D12" s="183" t="s">
        <v>582</v>
      </c>
      <c r="E12" s="313"/>
      <c r="F12" s="21"/>
      <c r="G12" s="21"/>
      <c r="H12" s="20"/>
      <c r="I12" s="486"/>
      <c r="J12" s="309"/>
      <c r="K12" s="309"/>
      <c r="L12" s="247">
        <f t="shared" si="0"/>
        <v>0</v>
      </c>
      <c r="M12" s="12"/>
      <c r="P12" s="35" t="str">
        <f t="shared" si="2"/>
        <v>Enter data here</v>
      </c>
      <c r="Q12" s="35" t="str">
        <f t="shared" si="3"/>
        <v>Use column to left</v>
      </c>
      <c r="R12" s="35" t="s">
        <v>898</v>
      </c>
      <c r="S12" s="247" t="str">
        <f t="shared" si="1"/>
        <v>Unfilled fields to left</v>
      </c>
      <c r="U12" s="25"/>
      <c r="V12" s="12"/>
    </row>
    <row r="13" spans="1:26">
      <c r="B13" s="190" t="s">
        <v>657</v>
      </c>
      <c r="C13" s="188" t="s">
        <v>658</v>
      </c>
      <c r="D13" s="183" t="s">
        <v>582</v>
      </c>
      <c r="E13" s="313"/>
      <c r="F13" s="21"/>
      <c r="G13" s="21"/>
      <c r="H13" s="20"/>
      <c r="I13" s="486"/>
      <c r="J13" s="309"/>
      <c r="K13" s="309"/>
      <c r="L13" s="247">
        <f t="shared" si="0"/>
        <v>0</v>
      </c>
      <c r="M13" s="12"/>
      <c r="P13" s="35" t="str">
        <f t="shared" si="2"/>
        <v>Enter data here</v>
      </c>
      <c r="Q13" s="35" t="str">
        <f t="shared" si="3"/>
        <v>Use column to left</v>
      </c>
      <c r="R13" s="35" t="s">
        <v>898</v>
      </c>
      <c r="S13" s="247" t="str">
        <f t="shared" si="1"/>
        <v>Unfilled fields to left</v>
      </c>
      <c r="U13" s="25"/>
      <c r="V13" s="12"/>
    </row>
    <row r="14" spans="1:26">
      <c r="B14" s="190" t="s">
        <v>636</v>
      </c>
      <c r="C14" s="188" t="s">
        <v>609</v>
      </c>
      <c r="D14" s="183" t="s">
        <v>582</v>
      </c>
      <c r="E14" s="313"/>
      <c r="F14" s="21"/>
      <c r="G14" s="21"/>
      <c r="H14" s="20"/>
      <c r="I14" s="486"/>
      <c r="J14" s="309"/>
      <c r="K14" s="309"/>
      <c r="L14" s="247">
        <f t="shared" si="0"/>
        <v>0</v>
      </c>
      <c r="M14" s="12"/>
      <c r="P14" s="35" t="str">
        <f t="shared" si="2"/>
        <v>Enter data here</v>
      </c>
      <c r="Q14" s="35" t="str">
        <f t="shared" si="3"/>
        <v>Use column to left</v>
      </c>
      <c r="R14" s="35" t="s">
        <v>898</v>
      </c>
      <c r="S14" s="247" t="str">
        <f t="shared" si="1"/>
        <v>Unfilled fields to left</v>
      </c>
      <c r="U14" s="25"/>
      <c r="V14" s="12"/>
    </row>
    <row r="15" spans="1:26">
      <c r="B15" s="16"/>
      <c r="C15" s="15"/>
      <c r="D15" s="183"/>
      <c r="E15" s="313"/>
      <c r="F15" s="21"/>
      <c r="G15" s="21"/>
      <c r="H15" s="20"/>
      <c r="I15" s="486"/>
      <c r="J15" s="309"/>
      <c r="K15" s="309"/>
      <c r="L15" s="247">
        <f t="shared" si="0"/>
        <v>0</v>
      </c>
      <c r="M15" s="12"/>
      <c r="P15" s="35" t="str">
        <f t="shared" ref="P15:P16" si="4">IF(B15="", "", IF(D15="MWh/yr (LHV)", "Use column to right", "Enter data here"))</f>
        <v/>
      </c>
      <c r="Q15" s="35" t="str">
        <f t="shared" ref="Q15:Q16" si="5">IF(B15="", "", IF(D15="MWh/yr (LHV)", "Enter data here", "Use column to left"))</f>
        <v/>
      </c>
      <c r="R15" s="35"/>
      <c r="S15" s="247" t="str">
        <f t="shared" si="1"/>
        <v>Unfilled fields to left</v>
      </c>
      <c r="U15" s="25"/>
      <c r="V15" s="12"/>
    </row>
    <row r="16" spans="1:26">
      <c r="B16" s="16"/>
      <c r="C16" s="15"/>
      <c r="D16" s="183"/>
      <c r="E16" s="313"/>
      <c r="F16" s="21"/>
      <c r="G16" s="21"/>
      <c r="H16" s="20"/>
      <c r="I16" s="486"/>
      <c r="J16" s="309"/>
      <c r="K16" s="309"/>
      <c r="L16" s="247">
        <f t="shared" si="0"/>
        <v>0</v>
      </c>
      <c r="M16" s="12"/>
      <c r="P16" s="35" t="str">
        <f t="shared" si="4"/>
        <v/>
      </c>
      <c r="Q16" s="35" t="str">
        <f t="shared" si="5"/>
        <v/>
      </c>
      <c r="R16" s="35"/>
      <c r="S16" s="247" t="str">
        <f t="shared" si="1"/>
        <v>Unfilled fields to left</v>
      </c>
      <c r="U16" s="25"/>
      <c r="V16" s="12"/>
    </row>
    <row r="17" spans="2:26">
      <c r="B17" s="16"/>
      <c r="C17" s="15"/>
      <c r="D17" s="183"/>
      <c r="E17" s="313"/>
      <c r="F17" s="21"/>
      <c r="G17" s="21"/>
      <c r="H17" s="20"/>
      <c r="I17" s="486"/>
      <c r="J17" s="309"/>
      <c r="K17" s="309"/>
      <c r="L17" s="247">
        <f t="shared" si="0"/>
        <v>0</v>
      </c>
      <c r="M17" s="12"/>
      <c r="P17" s="309"/>
      <c r="Q17" s="309"/>
      <c r="R17" s="309"/>
      <c r="S17" s="247" t="str">
        <f t="shared" si="1"/>
        <v>Unfilled fields to left</v>
      </c>
      <c r="U17" s="25"/>
      <c r="V17" s="12"/>
    </row>
    <row r="18" spans="2:26">
      <c r="C18" s="17"/>
      <c r="D18" s="17"/>
      <c r="E18" s="534"/>
      <c r="F18" s="26"/>
      <c r="G18" s="26"/>
      <c r="H18" s="22"/>
      <c r="I18" s="22"/>
      <c r="J18" s="41"/>
      <c r="K18" s="41"/>
      <c r="L18" s="41"/>
      <c r="P18" s="41"/>
      <c r="Q18" s="41"/>
      <c r="R18" s="41"/>
      <c r="S18" s="41"/>
      <c r="U18" s="27"/>
      <c r="V18" s="12"/>
    </row>
    <row r="19" spans="2:26">
      <c r="B19" s="149" t="s">
        <v>637</v>
      </c>
      <c r="C19" s="149"/>
      <c r="D19" s="149"/>
      <c r="E19" s="521"/>
      <c r="F19" s="487"/>
      <c r="G19" s="487"/>
      <c r="H19" s="487"/>
      <c r="I19" s="487"/>
      <c r="J19" s="521"/>
      <c r="K19" s="521"/>
      <c r="L19" s="308"/>
      <c r="N19"/>
      <c r="O19"/>
      <c r="P19" s="40"/>
      <c r="Q19" s="40"/>
      <c r="R19" s="40"/>
      <c r="S19" s="40"/>
      <c r="T19" s="19"/>
      <c r="U19" s="19"/>
      <c r="V19" s="19"/>
      <c r="W19" s="19"/>
      <c r="X19" s="19"/>
      <c r="Y19" s="19"/>
      <c r="Z19" s="19"/>
    </row>
    <row r="20" spans="2:26">
      <c r="B20" s="16" t="s">
        <v>638</v>
      </c>
      <c r="C20" s="188" t="s">
        <v>659</v>
      </c>
      <c r="D20" s="183" t="s">
        <v>582</v>
      </c>
      <c r="E20" s="313"/>
      <c r="F20" s="21"/>
      <c r="G20" s="21"/>
      <c r="H20" s="21"/>
      <c r="I20" s="21"/>
      <c r="J20" s="309"/>
      <c r="K20" s="313"/>
      <c r="L20" s="247">
        <f t="shared" ref="L20:L32" si="6">IF($D20="MWh/yr (LHV)",$E20,$J20*$E20/Conversion_kWh_to_MJ)</f>
        <v>0</v>
      </c>
      <c r="N20" s="251" t="s">
        <v>485</v>
      </c>
      <c r="O20" s="250" t="str">
        <f>IFERROR(L20/(SUM($L$20:$L$22)),"")</f>
        <v/>
      </c>
      <c r="P20" s="42"/>
      <c r="Q20" s="42"/>
      <c r="R20" s="42"/>
      <c r="S20" s="42"/>
      <c r="U20" s="21"/>
      <c r="V20" s="12"/>
    </row>
    <row r="21" spans="2:26" s="14" customFormat="1">
      <c r="B21" s="190" t="s">
        <v>583</v>
      </c>
      <c r="C21" s="188" t="s">
        <v>804</v>
      </c>
      <c r="D21" s="183" t="s">
        <v>582</v>
      </c>
      <c r="E21" s="313"/>
      <c r="F21" s="21"/>
      <c r="G21" s="21"/>
      <c r="H21" s="20"/>
      <c r="I21" s="20"/>
      <c r="J21" s="309"/>
      <c r="K21" s="309"/>
      <c r="L21" s="543">
        <f t="shared" si="6"/>
        <v>0</v>
      </c>
      <c r="M21" s="12"/>
      <c r="N21" s="12"/>
      <c r="O21" s="250" t="str">
        <f t="shared" ref="O21:O22" si="7">IFERROR(L21/(SUM($L$20:$L$22)),"")</f>
        <v/>
      </c>
      <c r="P21" s="42"/>
      <c r="Q21" s="42"/>
      <c r="R21" s="110"/>
      <c r="S21" s="12"/>
      <c r="T21" s="23"/>
      <c r="U21" s="21"/>
      <c r="V21" s="23"/>
      <c r="W21" s="42"/>
      <c r="Y21" s="12"/>
    </row>
    <row r="22" spans="2:26" s="14" customFormat="1">
      <c r="B22" s="190" t="s">
        <v>583</v>
      </c>
      <c r="C22" s="188" t="s">
        <v>803</v>
      </c>
      <c r="D22" s="183" t="s">
        <v>582</v>
      </c>
      <c r="E22" s="313"/>
      <c r="F22" s="21"/>
      <c r="G22" s="21"/>
      <c r="H22" s="20"/>
      <c r="I22" s="20"/>
      <c r="J22" s="309"/>
      <c r="K22" s="309"/>
      <c r="L22" s="543">
        <f t="shared" si="6"/>
        <v>0</v>
      </c>
      <c r="M22" s="12"/>
      <c r="N22" s="12"/>
      <c r="O22" s="250" t="str">
        <f t="shared" si="7"/>
        <v/>
      </c>
      <c r="P22" s="42"/>
      <c r="Q22" s="42"/>
      <c r="R22" s="110"/>
      <c r="S22" s="12"/>
      <c r="T22" s="23"/>
      <c r="U22" s="21"/>
      <c r="V22" s="23"/>
      <c r="W22" s="42"/>
      <c r="Y22" s="12"/>
    </row>
    <row r="23" spans="2:26" s="14" customFormat="1">
      <c r="B23" s="190" t="s">
        <v>586</v>
      </c>
      <c r="C23" s="188" t="s">
        <v>587</v>
      </c>
      <c r="D23" s="183" t="s">
        <v>582</v>
      </c>
      <c r="E23" s="313"/>
      <c r="F23" s="21"/>
      <c r="G23" s="21"/>
      <c r="H23" s="20"/>
      <c r="I23" s="20"/>
      <c r="J23" s="309"/>
      <c r="K23" s="309"/>
      <c r="L23" s="543">
        <f t="shared" si="6"/>
        <v>0</v>
      </c>
      <c r="M23" s="12"/>
      <c r="N23" s="12"/>
      <c r="O23" s="12"/>
      <c r="P23" s="110"/>
      <c r="Q23" s="110"/>
      <c r="R23" s="110"/>
      <c r="S23" s="12"/>
      <c r="T23" s="23"/>
      <c r="U23" s="21"/>
      <c r="V23" s="23"/>
      <c r="W23" s="42"/>
      <c r="Y23" s="12"/>
    </row>
    <row r="24" spans="2:26" s="14" customFormat="1">
      <c r="B24" s="190" t="s">
        <v>586</v>
      </c>
      <c r="C24" s="188" t="s">
        <v>588</v>
      </c>
      <c r="D24" s="183" t="s">
        <v>582</v>
      </c>
      <c r="E24" s="313"/>
      <c r="F24" s="21"/>
      <c r="G24" s="21"/>
      <c r="H24" s="20"/>
      <c r="I24" s="20"/>
      <c r="J24" s="309"/>
      <c r="K24" s="309"/>
      <c r="L24" s="543">
        <f t="shared" si="6"/>
        <v>0</v>
      </c>
      <c r="M24" s="12"/>
      <c r="N24" s="12"/>
      <c r="O24" s="12"/>
      <c r="P24" s="110"/>
      <c r="Q24" s="110"/>
      <c r="R24" s="110"/>
      <c r="S24" s="12"/>
      <c r="T24" s="23"/>
      <c r="U24" s="21"/>
      <c r="V24" s="23"/>
      <c r="W24" s="42"/>
      <c r="Y24" s="12"/>
    </row>
    <row r="25" spans="2:26" s="14" customFormat="1">
      <c r="B25" s="190" t="s">
        <v>589</v>
      </c>
      <c r="C25" s="188" t="s">
        <v>590</v>
      </c>
      <c r="D25" s="183" t="s">
        <v>582</v>
      </c>
      <c r="E25" s="313"/>
      <c r="F25" s="21"/>
      <c r="G25" s="21"/>
      <c r="H25" s="20"/>
      <c r="I25" s="486"/>
      <c r="J25" s="309"/>
      <c r="K25" s="309"/>
      <c r="L25" s="543">
        <f t="shared" si="6"/>
        <v>0</v>
      </c>
      <c r="M25" s="12"/>
      <c r="N25" s="12"/>
      <c r="O25" s="12"/>
      <c r="P25" s="110"/>
      <c r="Q25" s="110"/>
      <c r="R25" s="110"/>
      <c r="S25" s="12"/>
      <c r="U25" s="21"/>
    </row>
    <row r="26" spans="2:26" s="14" customFormat="1">
      <c r="B26" s="190" t="s">
        <v>589</v>
      </c>
      <c r="C26" s="188" t="s">
        <v>591</v>
      </c>
      <c r="D26" s="183" t="s">
        <v>582</v>
      </c>
      <c r="E26" s="313"/>
      <c r="F26" s="21"/>
      <c r="G26" s="21"/>
      <c r="H26" s="20"/>
      <c r="I26" s="486"/>
      <c r="J26" s="309"/>
      <c r="K26" s="309"/>
      <c r="L26" s="543">
        <f t="shared" si="6"/>
        <v>0</v>
      </c>
      <c r="M26" s="12"/>
      <c r="N26" s="12"/>
      <c r="O26" s="12"/>
      <c r="P26" s="110"/>
      <c r="Q26" s="110"/>
      <c r="R26" s="110"/>
      <c r="S26" s="12"/>
      <c r="U26" s="21"/>
    </row>
    <row r="27" spans="2:26" s="14" customFormat="1">
      <c r="B27" s="190" t="s">
        <v>808</v>
      </c>
      <c r="C27" s="188" t="s">
        <v>822</v>
      </c>
      <c r="D27" s="183" t="s">
        <v>582</v>
      </c>
      <c r="E27" s="313"/>
      <c r="F27" s="488"/>
      <c r="G27" s="21"/>
      <c r="H27" s="20"/>
      <c r="I27" s="486"/>
      <c r="J27" s="309"/>
      <c r="K27" s="309"/>
      <c r="L27" s="543">
        <f t="shared" si="6"/>
        <v>0</v>
      </c>
      <c r="M27" s="12"/>
      <c r="N27" s="12"/>
      <c r="O27" s="12"/>
      <c r="P27" s="556">
        <f>1*1000</f>
        <v>1000</v>
      </c>
      <c r="Q27" s="505"/>
      <c r="R27" s="558" t="s">
        <v>651</v>
      </c>
      <c r="S27" s="247" t="str">
        <f t="shared" ref="S27:S32" si="8">IFERROR(IF(D27="tonnes/yr", $P27*$E27/($L$20*3.6), $Q27*$E27*3.6/($L$20*3.6)), "Unfilled fields to left")</f>
        <v>Unfilled fields to left</v>
      </c>
      <c r="U27" s="21"/>
    </row>
    <row r="28" spans="2:26" s="14" customFormat="1">
      <c r="B28" s="190" t="s">
        <v>808</v>
      </c>
      <c r="C28" s="188" t="s">
        <v>820</v>
      </c>
      <c r="D28" s="183" t="s">
        <v>582</v>
      </c>
      <c r="E28" s="313"/>
      <c r="F28" s="488"/>
      <c r="G28" s="21"/>
      <c r="H28" s="20"/>
      <c r="I28" s="486"/>
      <c r="J28" s="309"/>
      <c r="K28" s="309"/>
      <c r="L28" s="543">
        <f t="shared" si="6"/>
        <v>0</v>
      </c>
      <c r="M28" s="12"/>
      <c r="N28" s="12"/>
      <c r="O28" s="12"/>
      <c r="P28" s="556">
        <f>1*1000</f>
        <v>1000</v>
      </c>
      <c r="Q28" s="505"/>
      <c r="R28" s="558" t="s">
        <v>651</v>
      </c>
      <c r="S28" s="247" t="str">
        <f t="shared" si="8"/>
        <v>Unfilled fields to left</v>
      </c>
      <c r="U28" s="21"/>
    </row>
    <row r="29" spans="2:26" s="14" customFormat="1">
      <c r="B29" s="190" t="s">
        <v>640</v>
      </c>
      <c r="C29" s="188" t="s">
        <v>660</v>
      </c>
      <c r="D29" s="183" t="s">
        <v>582</v>
      </c>
      <c r="E29" s="313"/>
      <c r="F29" s="488"/>
      <c r="G29" s="21"/>
      <c r="H29" s="20"/>
      <c r="I29" s="486"/>
      <c r="J29" s="309"/>
      <c r="K29" s="309"/>
      <c r="L29" s="543">
        <f t="shared" si="6"/>
        <v>0</v>
      </c>
      <c r="M29" s="12"/>
      <c r="N29" s="12"/>
      <c r="O29" s="12"/>
      <c r="P29" s="556">
        <f>28*1000</f>
        <v>28000</v>
      </c>
      <c r="Q29" s="505"/>
      <c r="R29" s="558" t="s">
        <v>651</v>
      </c>
      <c r="S29" s="247" t="str">
        <f t="shared" si="8"/>
        <v>Unfilled fields to left</v>
      </c>
      <c r="U29" s="21"/>
    </row>
    <row r="30" spans="2:26" s="14" customFormat="1">
      <c r="B30" s="190" t="s">
        <v>640</v>
      </c>
      <c r="C30" s="188" t="s">
        <v>824</v>
      </c>
      <c r="D30" s="183" t="s">
        <v>582</v>
      </c>
      <c r="E30" s="313"/>
      <c r="F30" s="21"/>
      <c r="G30" s="21"/>
      <c r="H30" s="20"/>
      <c r="I30" s="486"/>
      <c r="J30" s="309"/>
      <c r="K30" s="309"/>
      <c r="L30" s="543">
        <f t="shared" si="6"/>
        <v>0</v>
      </c>
      <c r="M30" s="12"/>
      <c r="N30" s="12"/>
      <c r="O30" s="12"/>
      <c r="P30" s="556">
        <v>265000</v>
      </c>
      <c r="Q30" s="505"/>
      <c r="R30" s="558" t="s">
        <v>651</v>
      </c>
      <c r="S30" s="247" t="str">
        <f t="shared" si="8"/>
        <v>Unfilled fields to left</v>
      </c>
      <c r="U30" s="21"/>
    </row>
    <row r="31" spans="2:26" s="14" customFormat="1">
      <c r="B31" s="16"/>
      <c r="C31" s="15"/>
      <c r="D31" s="183"/>
      <c r="E31" s="313"/>
      <c r="F31" s="21"/>
      <c r="G31" s="21"/>
      <c r="H31" s="20"/>
      <c r="I31" s="486"/>
      <c r="J31" s="309"/>
      <c r="K31" s="309"/>
      <c r="L31" s="543">
        <f t="shared" si="6"/>
        <v>0</v>
      </c>
      <c r="M31" s="12"/>
      <c r="N31" s="12"/>
      <c r="O31" s="12"/>
      <c r="P31" s="557"/>
      <c r="Q31" s="505"/>
      <c r="R31" s="559"/>
      <c r="S31" s="247" t="str">
        <f t="shared" si="8"/>
        <v>Unfilled fields to left</v>
      </c>
      <c r="U31" s="21"/>
    </row>
    <row r="32" spans="2:26" s="14" customFormat="1">
      <c r="B32" s="16"/>
      <c r="C32" s="15"/>
      <c r="D32" s="183"/>
      <c r="E32" s="313"/>
      <c r="F32" s="21"/>
      <c r="G32" s="21"/>
      <c r="H32" s="20"/>
      <c r="I32" s="486"/>
      <c r="J32" s="309"/>
      <c r="K32" s="309"/>
      <c r="L32" s="543">
        <f t="shared" si="6"/>
        <v>0</v>
      </c>
      <c r="M32" s="12"/>
      <c r="N32" s="12"/>
      <c r="O32" s="12"/>
      <c r="P32" s="557"/>
      <c r="Q32" s="505"/>
      <c r="R32" s="559"/>
      <c r="S32" s="247" t="str">
        <f t="shared" si="8"/>
        <v>Unfilled fields to left</v>
      </c>
      <c r="U32" s="21"/>
    </row>
    <row r="33" spans="2:22">
      <c r="C33" s="17"/>
      <c r="D33" s="17"/>
      <c r="E33" s="144"/>
      <c r="F33" s="17"/>
      <c r="H33" s="18"/>
      <c r="I33" s="18"/>
      <c r="J33" s="40"/>
      <c r="K33" s="40"/>
      <c r="L33" s="40"/>
      <c r="M33" s="12"/>
      <c r="P33" s="40"/>
      <c r="Q33" s="562"/>
      <c r="R33" s="40"/>
      <c r="S33" s="40"/>
      <c r="V33" s="12"/>
    </row>
    <row r="34" spans="2:22">
      <c r="B34" s="149" t="s">
        <v>661</v>
      </c>
      <c r="C34" s="149"/>
      <c r="D34" s="149"/>
      <c r="E34" s="308"/>
      <c r="F34" s="149"/>
      <c r="G34" s="149"/>
      <c r="H34" s="149"/>
      <c r="I34" s="149"/>
      <c r="J34" s="308"/>
      <c r="K34" s="308"/>
      <c r="L34" s="308"/>
      <c r="M34" s="12"/>
      <c r="P34" s="40"/>
      <c r="Q34" s="562"/>
      <c r="R34" s="40"/>
      <c r="S34" s="40"/>
      <c r="V34" s="12"/>
    </row>
    <row r="35" spans="2:22" s="19" customFormat="1">
      <c r="B35" s="190" t="s">
        <v>758</v>
      </c>
      <c r="C35" s="188" t="s">
        <v>691</v>
      </c>
      <c r="D35" s="183" t="s">
        <v>582</v>
      </c>
      <c r="E35" s="313" t="e">
        <f>E42/E41*E20</f>
        <v>#DIV/0!</v>
      </c>
      <c r="F35" s="24"/>
      <c r="G35" s="21"/>
      <c r="H35" s="20"/>
      <c r="I35" s="20"/>
      <c r="J35" s="307"/>
      <c r="K35" s="309"/>
      <c r="L35" s="247" t="e">
        <f>IF($D35="MWh/yr (LHV)",$E35,$J35*$E35/Conversion_kWh_to_MJ)</f>
        <v>#DIV/0!</v>
      </c>
      <c r="P35" s="556">
        <f>1*1000</f>
        <v>1000</v>
      </c>
      <c r="Q35" s="505"/>
      <c r="R35" s="558" t="s">
        <v>651</v>
      </c>
      <c r="S35" s="247" t="str">
        <f>IFERROR(IF(D35="tonnes/yr", $P35*$E35/($L$20*3.6), $Q35*$E35*3.6/($L$20*3.6)), "Unfilled fields to left")</f>
        <v>Unfilled fields to left</v>
      </c>
      <c r="U35" s="24"/>
    </row>
    <row r="36" spans="2:22" s="19" customFormat="1">
      <c r="B36" s="16"/>
      <c r="C36" s="15"/>
      <c r="D36" s="183"/>
      <c r="E36" s="35"/>
      <c r="F36" s="21"/>
      <c r="G36" s="21"/>
      <c r="H36" s="20"/>
      <c r="I36" s="36"/>
      <c r="J36" s="307"/>
      <c r="K36" s="309"/>
      <c r="L36" s="247">
        <f>IF($D36="MWh/yr (LHV)",$E36,$J36*$E36/Conversion_kWh_to_MJ)</f>
        <v>0</v>
      </c>
      <c r="P36" s="557"/>
      <c r="Q36" s="544"/>
      <c r="R36" s="559"/>
      <c r="S36" s="247" t="str">
        <f>IFERROR(IF(D36="tonnes/yr", $P36*$E36/($L$20*3.6), $Q36*$E36*3.6/($L$20*3.6)), "Unfilled fields to left")</f>
        <v>Unfilled fields to left</v>
      </c>
      <c r="U36" s="25"/>
    </row>
    <row r="37" spans="2:22">
      <c r="C37" s="17"/>
      <c r="D37" s="17"/>
      <c r="E37" s="144"/>
      <c r="F37" s="17"/>
      <c r="H37" s="18"/>
      <c r="I37" s="18"/>
      <c r="J37" s="40"/>
      <c r="K37" s="40"/>
      <c r="L37" s="40"/>
      <c r="M37" s="12"/>
      <c r="P37" s="40"/>
      <c r="Q37" s="40"/>
      <c r="R37" s="40"/>
      <c r="S37" s="40"/>
      <c r="V37" s="12"/>
    </row>
    <row r="38" spans="2:22">
      <c r="D38" s="17"/>
      <c r="E38" s="144"/>
      <c r="J38" s="39"/>
      <c r="K38" s="39"/>
      <c r="M38" s="12"/>
      <c r="P38" s="39"/>
      <c r="Q38" s="39"/>
      <c r="R38" s="38" t="s">
        <v>641</v>
      </c>
      <c r="S38" s="157">
        <f>SUM(S7:S37)</f>
        <v>0</v>
      </c>
      <c r="V38" s="12"/>
    </row>
    <row r="39" spans="2:22">
      <c r="B39" s="149" t="s">
        <v>94</v>
      </c>
      <c r="C39" s="163"/>
      <c r="D39" s="163"/>
      <c r="E39" s="527"/>
      <c r="I39" s="12"/>
      <c r="J39" s="110"/>
      <c r="K39" s="110"/>
      <c r="L39" s="110"/>
      <c r="M39" s="12"/>
      <c r="P39" s="110"/>
      <c r="Q39" s="110"/>
      <c r="R39" s="110"/>
      <c r="V39" s="12"/>
    </row>
    <row r="40" spans="2:22">
      <c r="B40" s="16" t="s">
        <v>626</v>
      </c>
      <c r="C40" s="15" t="s">
        <v>627</v>
      </c>
      <c r="D40" s="15" t="s">
        <v>628</v>
      </c>
      <c r="E40" s="529"/>
      <c r="G40" s="19"/>
      <c r="H40" s="12"/>
      <c r="I40" s="12"/>
      <c r="J40" s="110"/>
      <c r="K40" s="110"/>
      <c r="L40" s="110"/>
      <c r="M40" s="12"/>
      <c r="P40" s="110"/>
      <c r="Q40" s="110"/>
      <c r="R40" s="110"/>
      <c r="S40" s="12"/>
      <c r="U40" s="25"/>
      <c r="V40" s="12"/>
    </row>
    <row r="41" spans="2:22">
      <c r="B41" s="16" t="s">
        <v>663</v>
      </c>
      <c r="C41" s="15" t="s">
        <v>663</v>
      </c>
      <c r="D41" s="15" t="s">
        <v>664</v>
      </c>
      <c r="E41" s="529"/>
      <c r="H41" s="12"/>
      <c r="I41" s="12"/>
      <c r="J41" s="110"/>
      <c r="K41" s="110"/>
      <c r="L41" s="110"/>
      <c r="M41" s="12"/>
      <c r="P41" s="110"/>
      <c r="Q41" s="110"/>
      <c r="R41" s="110"/>
      <c r="S41" s="12"/>
      <c r="U41" s="25"/>
      <c r="V41" s="12"/>
    </row>
    <row r="42" spans="2:22">
      <c r="B42" s="16" t="s">
        <v>662</v>
      </c>
      <c r="C42" s="15" t="s">
        <v>665</v>
      </c>
      <c r="D42" s="15" t="s">
        <v>666</v>
      </c>
      <c r="E42" s="529"/>
      <c r="J42" s="39"/>
      <c r="K42" s="39"/>
      <c r="P42" s="39"/>
      <c r="Q42" s="39"/>
      <c r="R42" s="39"/>
      <c r="U42" s="25"/>
    </row>
    <row r="43" spans="2:22">
      <c r="B43" s="16"/>
      <c r="C43" s="15"/>
      <c r="D43" s="15"/>
      <c r="E43" s="535"/>
      <c r="J43" s="39"/>
      <c r="K43" s="39"/>
      <c r="P43" s="39"/>
      <c r="Q43" s="39"/>
      <c r="R43" s="39"/>
      <c r="U43" s="25"/>
    </row>
    <row r="44" spans="2:22">
      <c r="E44" s="110"/>
      <c r="J44" s="39"/>
      <c r="K44" s="39"/>
      <c r="P44" s="39"/>
      <c r="Q44" s="39"/>
      <c r="R44" s="39"/>
    </row>
    <row r="45" spans="2:22">
      <c r="E45" s="110"/>
      <c r="J45" s="39"/>
      <c r="K45" s="39"/>
      <c r="P45" s="39"/>
      <c r="Q45" s="39"/>
      <c r="R45" s="39"/>
    </row>
    <row r="46" spans="2:22">
      <c r="C46" s="19"/>
      <c r="D46" s="19"/>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J122" s="39"/>
      <c r="K122" s="39"/>
      <c r="P122" s="39"/>
      <c r="Q122" s="39"/>
      <c r="R122" s="39"/>
    </row>
    <row r="123" spans="5:18">
      <c r="E123" s="110"/>
      <c r="J123" s="39"/>
      <c r="K123" s="39"/>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E147" s="110"/>
      <c r="P147" s="39"/>
      <c r="Q147" s="39"/>
      <c r="R147" s="39"/>
    </row>
    <row r="148" spans="5:18">
      <c r="E148" s="110"/>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row r="189" spans="16:18">
      <c r="P189" s="39"/>
      <c r="Q189" s="39"/>
      <c r="R189" s="39"/>
    </row>
    <row r="190" spans="16:18">
      <c r="P190" s="39"/>
      <c r="Q190" s="39"/>
      <c r="R190"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35:D36 D8:D17 D20:D32" xr:uid="{DBD1287B-6F0F-4A26-ABA8-794E694BD73F}">
      <formula1>Flow_units</formula1>
    </dataValidation>
    <dataValidation type="custom" allowBlank="1" showInputMessage="1" showErrorMessage="1" error="Please do not change this formula" prompt="Please do not change this formula" sqref="T4 S6:S1048576 L1:L1048576 M4 S1:S4 N1:O4 N6:O1048576 N5:S5" xr:uid="{9DD5289D-20D5-444B-BD08-115CC79F1FBF}">
      <formula1>"Please do not change this formula"</formula1>
    </dataValidation>
  </dataValidations>
  <hyperlinks>
    <hyperlink ref="I2:J2" location="'Biogas Feedstock Transport'!A1" display="Go to the next step of this pathway" xr:uid="{1DAE32C7-EFB6-4891-89C4-793D04193670}"/>
    <hyperlink ref="I2:K2" location="Biogas_Feedstock_Harvesting!A1" display="Go to the next step of this pathway" xr:uid="{659E4279-A7C8-486E-96F4-418D425AD763}"/>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0" id="{82CBF04E-56A2-4DB9-8FB7-DD686A866462}">
            <xm:f>AND(Initial_questions!$E$21&lt;&gt;"Biomethane Steam Methane Reformer (SMR) with CCS",Initial_questions!$E$21&lt;&gt;"Biomethane Steam Methane Reformer (SMR) without CCS", Initial_questions!$E$21&lt;&gt;"Biomethane Autothermal Reformer (ATR) with CCS",Initial_questions!$E$21&lt;&gt;"Biomethane Autothermal Reformer (ATR)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50" id="{F86659A0-06D3-4EAB-A350-0FC35C35BA46}">
            <xm:f>AND(Initial_questions!$E$62&lt;&gt;"Cereals and other starch-rich crops", Initial_questions!$E$62&lt;&gt;"Sugar crops", Initial_questions!$E$62&lt;&gt;"Oil crops", Initial_questions!$E$62&lt;&gt;"Other crop",Master_Switch="On")</xm:f>
            <x14:dxf>
              <font>
                <color theme="0"/>
              </font>
              <fill>
                <patternFill>
                  <bgColor theme="0"/>
                </patternFill>
              </fill>
              <border>
                <left/>
                <right/>
                <top/>
                <bottom/>
              </border>
            </x14:dxf>
          </x14:cfRule>
          <xm:sqref>A4:XFD100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0C5A8-F2C9-42A0-976C-03BEFF6F4FF1}">
  <sheetPr codeName="Sheet46">
    <tabColor rgb="FFFF9900"/>
  </sheetPr>
  <dimension ref="A1:Z188"/>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IF(AND(Initial_questions!$E$21&lt;&gt;"Biomethane Steam Methane Reformer (SMR) with CCS",Initial_questions!$E$21&lt;&gt;"Biomethane Steam Methane Reformer (SMR) without CCS", Initial_questions!$E$21&lt;&gt;"Biomethane Autothermal Reformer (ATR) with CCS",Initial_questions!$E$21&lt;&gt;"Biomethane Autothermal Reformer (ATR) without CCS",Master_Switch="On"),"User should not fill in this sheet, but switch to other non-blank GHG worksheets","")</f>
        <v>User should not fill in this sheet, but switch to other non-blank GHG worksheets</v>
      </c>
      <c r="E1" s="262"/>
    </row>
    <row r="2" spans="1:26" ht="20.399999999999999" customHeight="1">
      <c r="B2" s="83" t="str">
        <f>IF(AND(Initial_questions!$E$62&lt;&gt;"Cereals and other starch-rich crops", Initial_questions!$E$62&lt;&gt;"Sugar crops", Initial_questions!$E$62&lt;&gt;"Oil crops", Initial_questions!$E$62&lt;&gt;"Other crop",Master_Switch="On"),"Not a purpose-grown feedstock, move to the next step of the pathway","")</f>
        <v>Not a purpose-grown feedstock, move to the next step of the pathway</v>
      </c>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659</v>
      </c>
      <c r="D8" s="183" t="s">
        <v>582</v>
      </c>
      <c r="E8" s="35"/>
      <c r="F8" s="21"/>
      <c r="G8" s="21"/>
      <c r="H8" s="20"/>
      <c r="I8" s="20"/>
      <c r="J8" s="307"/>
      <c r="K8" s="309"/>
      <c r="L8" s="247">
        <f t="shared" ref="L8:L17" si="0">IF($D8="MWh/yr (LHV)",$E8,$J8*$E8/Conversion_kWh_to_MJ)</f>
        <v>0</v>
      </c>
      <c r="M8" s="12"/>
      <c r="P8" s="110"/>
      <c r="Q8" s="110"/>
      <c r="R8" s="110"/>
      <c r="S8" s="12"/>
      <c r="U8" s="24"/>
      <c r="V8" s="12"/>
    </row>
    <row r="9" spans="1:26">
      <c r="B9" s="190" t="s">
        <v>592</v>
      </c>
      <c r="C9" s="188" t="s">
        <v>646</v>
      </c>
      <c r="D9" s="183" t="s">
        <v>747</v>
      </c>
      <c r="E9" s="35"/>
      <c r="F9" s="21"/>
      <c r="G9" s="21"/>
      <c r="H9" s="20"/>
      <c r="I9" s="36"/>
      <c r="J9" s="307"/>
      <c r="K9" s="309"/>
      <c r="L9" s="247">
        <f t="shared" si="0"/>
        <v>0</v>
      </c>
      <c r="M9" s="12"/>
      <c r="P9" s="35" t="str">
        <f>IF(B9="", "", IF(D9="MWh/yr (LHV)", "Use column to right", "Enter data here"))</f>
        <v>Use column to right</v>
      </c>
      <c r="Q9" s="35" t="e">
        <f>INDEX(Assumptions!$F$5:$AJ$5,1,MATCH(Initial_questions!$E$24,Assumptions!$F$4:$AJ$4,0))*1000/Conversion_kWh_to_MJ</f>
        <v>#N/A</v>
      </c>
      <c r="R9" s="35" t="s">
        <v>896</v>
      </c>
      <c r="S9" s="247" t="str">
        <f t="shared" ref="S9:S17" si="1">IFERROR(IF(D9="tonnes/yr", $P9*$E9/($L$20*3.6), $Q9*$E9*3.6/($L$20*3.6)), "Unfilled fields to left")</f>
        <v>Unfilled fields to left</v>
      </c>
      <c r="U9" s="25"/>
      <c r="V9" s="12"/>
    </row>
    <row r="10" spans="1:26">
      <c r="B10" s="190" t="s">
        <v>592</v>
      </c>
      <c r="C10" s="188"/>
      <c r="D10" s="183"/>
      <c r="E10" s="35"/>
      <c r="F10" s="21"/>
      <c r="G10" s="21"/>
      <c r="H10" s="20"/>
      <c r="I10" s="36"/>
      <c r="J10" s="307"/>
      <c r="K10" s="309"/>
      <c r="L10" s="247">
        <f t="shared" si="0"/>
        <v>0</v>
      </c>
      <c r="M10" s="12"/>
      <c r="P10" s="35" t="str">
        <f>IF(B10="", "", IF(D10="MWh/yr (LHV)", "Use column to right", "Enter data here"))</f>
        <v>Enter data here</v>
      </c>
      <c r="Q10" s="35" t="str">
        <f t="shared" ref="Q10" si="2">IF(B10="", "", IF(D10="MWh/yr (LHV)", "Enter data here", "Use column to left"))</f>
        <v>Use column to left</v>
      </c>
      <c r="R10" s="35" t="s">
        <v>898</v>
      </c>
      <c r="S10" s="247" t="str">
        <f t="shared" si="1"/>
        <v>Unfilled fields to left</v>
      </c>
      <c r="U10" s="25"/>
      <c r="V10" s="12"/>
    </row>
    <row r="11" spans="1:26">
      <c r="B11" s="190" t="s">
        <v>599</v>
      </c>
      <c r="C11" s="188" t="s">
        <v>600</v>
      </c>
      <c r="D11" s="183" t="s">
        <v>582</v>
      </c>
      <c r="E11" s="35"/>
      <c r="F11" s="21"/>
      <c r="G11" s="21"/>
      <c r="H11" s="20"/>
      <c r="I11" s="36"/>
      <c r="J11" s="307"/>
      <c r="K11" s="309"/>
      <c r="L11" s="247">
        <f t="shared" si="0"/>
        <v>0</v>
      </c>
      <c r="M11" s="12"/>
      <c r="P11" s="35" t="str">
        <f t="shared" ref="P11:P16" si="3">IF(B11="", "", IF(D11="MWh/yr (LHV)", "Use column to right", "Enter data here"))</f>
        <v>Enter data here</v>
      </c>
      <c r="Q11" s="35" t="str">
        <f t="shared" ref="Q11:Q16" si="4">IF(B11="", "", IF(D11="MWh/yr (LHV)", "Enter data here", "Use column to left"))</f>
        <v>Use column to left</v>
      </c>
      <c r="R11" s="35" t="s">
        <v>898</v>
      </c>
      <c r="S11" s="247" t="str">
        <f t="shared" si="1"/>
        <v>Unfilled fields to left</v>
      </c>
      <c r="U11" s="25"/>
      <c r="V11" s="12"/>
    </row>
    <row r="12" spans="1:26">
      <c r="B12" s="190" t="s">
        <v>599</v>
      </c>
      <c r="C12" s="188" t="s">
        <v>601</v>
      </c>
      <c r="D12" s="183" t="s">
        <v>582</v>
      </c>
      <c r="E12" s="35"/>
      <c r="F12" s="21"/>
      <c r="G12" s="21"/>
      <c r="H12" s="20"/>
      <c r="I12" s="36"/>
      <c r="J12" s="307"/>
      <c r="K12" s="309"/>
      <c r="L12" s="247">
        <f t="shared" si="0"/>
        <v>0</v>
      </c>
      <c r="M12" s="12"/>
      <c r="P12" s="35" t="str">
        <f t="shared" si="3"/>
        <v>Enter data here</v>
      </c>
      <c r="Q12" s="35" t="str">
        <f t="shared" si="4"/>
        <v>Use column to left</v>
      </c>
      <c r="R12" s="35" t="s">
        <v>898</v>
      </c>
      <c r="S12" s="247" t="str">
        <f t="shared" si="1"/>
        <v>Unfilled fields to left</v>
      </c>
      <c r="U12" s="25"/>
      <c r="V12" s="12"/>
    </row>
    <row r="13" spans="1:26">
      <c r="B13" s="190" t="s">
        <v>605</v>
      </c>
      <c r="C13" s="188"/>
      <c r="D13" s="183"/>
      <c r="E13" s="35"/>
      <c r="F13" s="21"/>
      <c r="G13" s="21"/>
      <c r="H13" s="20"/>
      <c r="I13" s="36"/>
      <c r="J13" s="307"/>
      <c r="K13" s="309"/>
      <c r="L13" s="247">
        <f t="shared" si="0"/>
        <v>0</v>
      </c>
      <c r="M13" s="12"/>
      <c r="P13" s="35" t="str">
        <f t="shared" si="3"/>
        <v>Enter data here</v>
      </c>
      <c r="Q13" s="35" t="str">
        <f t="shared" si="4"/>
        <v>Use column to left</v>
      </c>
      <c r="R13" s="35" t="s">
        <v>898</v>
      </c>
      <c r="S13" s="247" t="str">
        <f t="shared" si="1"/>
        <v>Unfilled fields to left</v>
      </c>
      <c r="U13" s="25"/>
      <c r="V13" s="12"/>
    </row>
    <row r="14" spans="1:26">
      <c r="B14" s="190" t="s">
        <v>605</v>
      </c>
      <c r="C14" s="188"/>
      <c r="D14" s="183"/>
      <c r="E14" s="35"/>
      <c r="F14" s="21"/>
      <c r="G14" s="252"/>
      <c r="H14" s="20"/>
      <c r="I14" s="36"/>
      <c r="J14" s="307"/>
      <c r="K14" s="309"/>
      <c r="L14" s="247">
        <f t="shared" si="0"/>
        <v>0</v>
      </c>
      <c r="M14" s="12"/>
      <c r="P14" s="35" t="str">
        <f t="shared" si="3"/>
        <v>Enter data here</v>
      </c>
      <c r="Q14" s="35" t="str">
        <f t="shared" si="4"/>
        <v>Use column to left</v>
      </c>
      <c r="R14" s="35" t="s">
        <v>898</v>
      </c>
      <c r="S14" s="247" t="str">
        <f t="shared" si="1"/>
        <v>Unfilled fields to left</v>
      </c>
      <c r="U14" s="25"/>
      <c r="V14" s="12"/>
    </row>
    <row r="15" spans="1:26">
      <c r="B15" s="190" t="s">
        <v>636</v>
      </c>
      <c r="C15" s="188" t="s">
        <v>609</v>
      </c>
      <c r="D15" s="183" t="s">
        <v>582</v>
      </c>
      <c r="E15" s="35"/>
      <c r="F15" s="21"/>
      <c r="G15" s="21"/>
      <c r="H15" s="20"/>
      <c r="I15" s="36"/>
      <c r="J15" s="307"/>
      <c r="K15" s="309"/>
      <c r="L15" s="247">
        <f t="shared" si="0"/>
        <v>0</v>
      </c>
      <c r="M15" s="12"/>
      <c r="P15" s="35" t="str">
        <f t="shared" si="3"/>
        <v>Enter data here</v>
      </c>
      <c r="Q15" s="35" t="str">
        <f t="shared" si="4"/>
        <v>Use column to left</v>
      </c>
      <c r="R15" s="35" t="s">
        <v>898</v>
      </c>
      <c r="S15" s="247" t="str">
        <f t="shared" si="1"/>
        <v>Unfilled fields to left</v>
      </c>
      <c r="U15" s="25"/>
      <c r="V15" s="12"/>
    </row>
    <row r="16" spans="1:26">
      <c r="B16" s="190" t="s">
        <v>636</v>
      </c>
      <c r="C16" s="188"/>
      <c r="D16" s="183"/>
      <c r="E16" s="35"/>
      <c r="F16" s="21"/>
      <c r="G16" s="21"/>
      <c r="H16" s="20"/>
      <c r="I16" s="36"/>
      <c r="J16" s="307"/>
      <c r="K16" s="309"/>
      <c r="L16" s="247">
        <f t="shared" si="0"/>
        <v>0</v>
      </c>
      <c r="M16" s="12"/>
      <c r="P16" s="35" t="str">
        <f t="shared" si="3"/>
        <v>Enter data here</v>
      </c>
      <c r="Q16" s="35" t="str">
        <f t="shared" si="4"/>
        <v>Use column to left</v>
      </c>
      <c r="R16" s="35" t="s">
        <v>898</v>
      </c>
      <c r="S16" s="247" t="str">
        <f t="shared" si="1"/>
        <v>Unfilled fields to left</v>
      </c>
      <c r="U16" s="25"/>
      <c r="V16" s="12"/>
    </row>
    <row r="17" spans="2:26">
      <c r="B17" s="16"/>
      <c r="C17" s="15"/>
      <c r="D17" s="183"/>
      <c r="E17" s="35"/>
      <c r="F17" s="21"/>
      <c r="G17" s="21"/>
      <c r="H17" s="20"/>
      <c r="I17" s="36"/>
      <c r="J17" s="307"/>
      <c r="K17" s="309"/>
      <c r="L17" s="247">
        <f t="shared" si="0"/>
        <v>0</v>
      </c>
      <c r="M17" s="12"/>
      <c r="P17" s="309"/>
      <c r="Q17" s="307"/>
      <c r="R17" s="309"/>
      <c r="S17" s="247" t="str">
        <f t="shared" si="1"/>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659</v>
      </c>
      <c r="D20" s="183" t="s">
        <v>582</v>
      </c>
      <c r="E20" s="35"/>
      <c r="F20" s="21"/>
      <c r="G20" s="21"/>
      <c r="H20" s="21"/>
      <c r="I20" s="21"/>
      <c r="J20" s="307"/>
      <c r="K20" s="313"/>
      <c r="L20" s="247">
        <f t="shared" ref="L20:L31" si="5">IF($D20="MWh/yr (LHV)",$E20,$J20*$E20/Conversion_kWh_to_MJ)</f>
        <v>0</v>
      </c>
      <c r="N20" s="251" t="str">
        <f>IFERROR(L20/L8,"")</f>
        <v/>
      </c>
      <c r="O20" s="250" t="str">
        <f>IFERROR(L20/(SUM($L$20:$L$22)),"")</f>
        <v/>
      </c>
      <c r="P20" s="42"/>
      <c r="Q20" s="42"/>
      <c r="R20" s="42"/>
      <c r="S20" s="42"/>
      <c r="U20" s="21"/>
      <c r="V20" s="12"/>
    </row>
    <row r="21" spans="2:26" s="14" customFormat="1">
      <c r="B21" s="190" t="s">
        <v>583</v>
      </c>
      <c r="C21" s="188" t="s">
        <v>804</v>
      </c>
      <c r="D21" s="183" t="s">
        <v>582</v>
      </c>
      <c r="E21" s="35"/>
      <c r="F21" s="21"/>
      <c r="G21" s="21"/>
      <c r="H21" s="20"/>
      <c r="I21" s="33"/>
      <c r="J21" s="307"/>
      <c r="K21" s="309"/>
      <c r="L21" s="247">
        <f t="shared" si="5"/>
        <v>0</v>
      </c>
      <c r="M21" s="12"/>
      <c r="N21" s="12"/>
      <c r="O21" s="250" t="str">
        <f t="shared" ref="O21:O22" si="6">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5"/>
        <v>0</v>
      </c>
      <c r="M22" s="12"/>
      <c r="N22" s="12"/>
      <c r="O22" s="250" t="str">
        <f t="shared" si="6"/>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5"/>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5"/>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5"/>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5"/>
        <v>0</v>
      </c>
      <c r="M26" s="12"/>
      <c r="N26" s="12"/>
      <c r="O26" s="12"/>
      <c r="P26" s="110"/>
      <c r="Q26" s="110"/>
      <c r="R26" s="110"/>
      <c r="S26" s="12"/>
      <c r="U26" s="21"/>
    </row>
    <row r="27" spans="2:26" s="14" customFormat="1">
      <c r="B27" s="190" t="s">
        <v>611</v>
      </c>
      <c r="C27" s="188" t="s">
        <v>820</v>
      </c>
      <c r="D27" s="183" t="s">
        <v>582</v>
      </c>
      <c r="E27" s="35"/>
      <c r="F27" s="34"/>
      <c r="G27" s="21"/>
      <c r="H27" s="20"/>
      <c r="I27" s="36"/>
      <c r="J27" s="307"/>
      <c r="K27" s="309"/>
      <c r="L27" s="247">
        <f t="shared" si="5"/>
        <v>0</v>
      </c>
      <c r="M27" s="12"/>
      <c r="N27" s="12"/>
      <c r="O27" s="12"/>
      <c r="P27" s="35">
        <v>1000</v>
      </c>
      <c r="Q27" s="546"/>
      <c r="R27" s="35" t="s">
        <v>821</v>
      </c>
      <c r="S27" s="247"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5"/>
        <v>0</v>
      </c>
      <c r="M28" s="12"/>
      <c r="N28" s="12"/>
      <c r="O28" s="12"/>
      <c r="P28" s="35">
        <v>28000</v>
      </c>
      <c r="Q28" s="546"/>
      <c r="R28" s="35" t="s">
        <v>651</v>
      </c>
      <c r="S28" s="247" t="str">
        <f>IFERROR(IF(D28="tonnes/yr", $P28*$E28/($L$20*3.6), $Q28*$E28*3.6/($L$20*3.6)), "Unfilled fields to left")</f>
        <v>Unfilled fields to left</v>
      </c>
      <c r="U28" s="21"/>
    </row>
    <row r="29" spans="2:26" s="14" customFormat="1">
      <c r="B29" s="190" t="s">
        <v>640</v>
      </c>
      <c r="C29" s="188" t="s">
        <v>824</v>
      </c>
      <c r="D29" s="183" t="s">
        <v>582</v>
      </c>
      <c r="E29" s="35"/>
      <c r="F29" s="21"/>
      <c r="G29" s="21"/>
      <c r="H29" s="20"/>
      <c r="I29" s="36"/>
      <c r="J29" s="307"/>
      <c r="K29" s="309"/>
      <c r="L29" s="247">
        <f t="shared" si="5"/>
        <v>0</v>
      </c>
      <c r="M29" s="12"/>
      <c r="N29" s="12"/>
      <c r="O29" s="12"/>
      <c r="P29" s="35">
        <v>265000</v>
      </c>
      <c r="Q29" s="546"/>
      <c r="R29" s="35" t="s">
        <v>651</v>
      </c>
      <c r="S29" s="247"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5"/>
        <v>0</v>
      </c>
      <c r="M30" s="12"/>
      <c r="N30" s="12"/>
      <c r="O30" s="12"/>
      <c r="P30" s="307"/>
      <c r="Q30" s="505"/>
      <c r="R30" s="309"/>
      <c r="S30" s="247" t="str">
        <f>IFERROR(IF(D30="tonnes/yr", $P30*$E30/($L$20*3.6), $Q30*$E30*3.6/($L$20*3.6)), "Unfilled fields to left")</f>
        <v>Unfilled fields to left</v>
      </c>
      <c r="U30" s="21"/>
    </row>
    <row r="31" spans="2:26" s="14" customFormat="1">
      <c r="B31" s="16"/>
      <c r="C31" s="15"/>
      <c r="D31" s="183"/>
      <c r="E31" s="35"/>
      <c r="F31" s="21"/>
      <c r="G31" s="21"/>
      <c r="H31" s="20"/>
      <c r="I31" s="36"/>
      <c r="J31" s="307"/>
      <c r="K31" s="309"/>
      <c r="L31" s="247">
        <f t="shared" si="5"/>
        <v>0</v>
      </c>
      <c r="M31" s="12"/>
      <c r="N31" s="12"/>
      <c r="O31" s="12"/>
      <c r="P31" s="307"/>
      <c r="Q31" s="505"/>
      <c r="R31" s="309"/>
      <c r="S31" s="247"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40"/>
      <c r="V32" s="12"/>
    </row>
    <row r="33" spans="2:22">
      <c r="D33" s="17"/>
      <c r="E33" s="144"/>
      <c r="J33" s="39"/>
      <c r="K33" s="39"/>
      <c r="M33" s="12"/>
      <c r="P33" s="39"/>
      <c r="Q33" s="39"/>
      <c r="R33" s="38" t="s">
        <v>641</v>
      </c>
      <c r="S33" s="157">
        <f>SUM(S7:S32)</f>
        <v>0</v>
      </c>
      <c r="V33" s="12"/>
    </row>
    <row r="34" spans="2:22">
      <c r="B34" s="149" t="s">
        <v>94</v>
      </c>
      <c r="C34" s="163"/>
      <c r="D34" s="163"/>
      <c r="E34" s="527"/>
      <c r="I34" s="12"/>
      <c r="J34" s="110"/>
      <c r="K34" s="110"/>
      <c r="L34" s="110"/>
      <c r="M34" s="12"/>
      <c r="P34" s="110"/>
      <c r="Q34" s="110"/>
      <c r="R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c r="C36" s="15"/>
      <c r="D36" s="15"/>
      <c r="E36" s="535"/>
      <c r="H36" s="12"/>
      <c r="I36" s="12"/>
      <c r="J36" s="110"/>
      <c r="K36" s="110"/>
      <c r="L36" s="110"/>
      <c r="M36" s="12"/>
      <c r="P36" s="110"/>
      <c r="Q36" s="110"/>
      <c r="R36" s="110"/>
      <c r="S36" s="12"/>
      <c r="U36" s="25"/>
      <c r="V36" s="12"/>
    </row>
    <row r="37" spans="2:22">
      <c r="B37" s="16"/>
      <c r="C37" s="15"/>
      <c r="D37" s="15"/>
      <c r="E37" s="535"/>
      <c r="J37" s="39"/>
      <c r="K37" s="39"/>
      <c r="P37" s="39"/>
      <c r="Q37" s="39"/>
      <c r="R37" s="39"/>
      <c r="U37" s="25"/>
    </row>
    <row r="38" spans="2:22">
      <c r="B38" s="16"/>
      <c r="C38" s="15"/>
      <c r="D38" s="15"/>
      <c r="E38" s="535"/>
      <c r="J38" s="39"/>
      <c r="K38" s="39"/>
      <c r="P38" s="39"/>
      <c r="Q38" s="39"/>
      <c r="R38" s="39"/>
      <c r="U38" s="25"/>
    </row>
    <row r="39" spans="2:22">
      <c r="E39" s="110"/>
      <c r="J39" s="39"/>
      <c r="K39" s="39"/>
      <c r="P39" s="39"/>
      <c r="Q39" s="39"/>
      <c r="R39" s="39"/>
    </row>
    <row r="40" spans="2:22">
      <c r="E40" s="110"/>
      <c r="J40" s="39"/>
      <c r="K40" s="39"/>
      <c r="P40" s="39"/>
      <c r="Q40" s="39"/>
      <c r="R40" s="39"/>
    </row>
    <row r="41" spans="2:22">
      <c r="E41" s="110"/>
      <c r="J41" s="39"/>
      <c r="K41" s="39"/>
      <c r="P41" s="39"/>
      <c r="Q41" s="39"/>
      <c r="R41" s="39"/>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3">
    <dataValidation type="list" allowBlank="1" showInputMessage="1" showErrorMessage="1" sqref="D9:D17 D20:D31" xr:uid="{4DFF4B8D-0A4D-4FC2-919D-5EEBE05073EF}">
      <formula1>Flow_units</formula1>
    </dataValidation>
    <dataValidation type="list" allowBlank="1" showInputMessage="1" showErrorMessage="1" sqref="D8" xr:uid="{E2ECF893-44C4-42EE-A18C-21F71844862A}">
      <formula1>"tonnes/yr, MWh/yr+$D$7"</formula1>
    </dataValidation>
    <dataValidation type="custom" allowBlank="1" showInputMessage="1" showErrorMessage="1" error="Please do not change this formula" prompt="Please do not change this formula" sqref="L1:L1048576 S6:S1048576 T4 M4 S1:S4 N1:O4 N6:O1048576 N5:S5" xr:uid="{04B82457-3238-42EB-A551-48607D5686E6}">
      <formula1>"Please do not change this formula"</formula1>
    </dataValidation>
  </dataValidations>
  <hyperlinks>
    <hyperlink ref="I2:J2" location="'Biogas Feedstock Transport'!A1" display="Go to the next step of this pathway" xr:uid="{20B66EBB-0521-42D2-B8F7-1134A0923C6C}"/>
    <hyperlink ref="I2:K2" location="Biogas_Feedstock_Collection!A1" display="Go to the next step of this pathway" xr:uid="{3D75FA98-2C90-4FED-B0C8-6530C5491C99}"/>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2" id="{C57A34EE-F3F0-4E9E-B289-D9B9B26AD98D}">
            <xm:f>AND(Initial_questions!$E$21&lt;&gt;"Biomethane Steam Methane Reformer (SMR) with CCS",Initial_questions!$E$21&lt;&gt;"Biomethane Steam Methane Reformer (SMR) without CCS", Initial_questions!$E$21&lt;&gt;"Biomethane Autothermal Reformer (ATR) with CCS",Initial_questions!$E$21&lt;&gt;"Biomethane Autothermal Reformer (ATR)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52" id="{C3953134-4FA2-4B4B-A31B-BA6D9C4AEF89}">
            <xm:f>AND(Initial_questions!$E$62&lt;&gt;"Cereals and other starch-rich crops", Initial_questions!$E$62&lt;&gt;"Sugar crops", Initial_questions!$E$62&lt;&gt;"Oil crops", Initial_questions!$E$62&lt;&gt;"Other crop",Master_Switch="On")</xm:f>
            <x14:dxf>
              <font>
                <color theme="0"/>
              </font>
              <fill>
                <patternFill>
                  <bgColor theme="0"/>
                </patternFill>
              </fill>
              <border>
                <left/>
                <right/>
                <top/>
                <bottom/>
                <vertical/>
                <horizontal/>
              </border>
            </x14:dxf>
          </x14:cfRule>
          <xm:sqref>A4:XFD100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501C-FA6C-472A-8A0D-74000F10D2E4}">
  <sheetPr codeName="Sheet24">
    <tabColor rgb="FFFF9900"/>
  </sheetPr>
  <dimension ref="A1:Z188"/>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IF(AND(Initial_questions!$E$21&lt;&gt;"Biomethane Steam Methane Reformer (SMR) with CCS",Initial_questions!$E$21&lt;&gt;"Biomethane Steam Methane Reformer (SMR) without CCS", Initial_questions!$E$21&lt;&gt;"Biomethane Autothermal Reformer (ATR) with CCS",Initial_questions!$E$21&lt;&gt;"Biomethane Autothermal Reformer (ATR) without CCS",Master_Switch="On"),"User should not fill in this sheet, but switch to other non-blank GHG worksheets","")</f>
        <v>User should not fill in this sheet, but switch to other non-blank GHG worksheets</v>
      </c>
      <c r="E1" s="262"/>
    </row>
    <row r="2" spans="1:26" ht="20.399999999999999" customHeight="1">
      <c r="B2" s="83" t="str">
        <f>IF(AND(GHG_BIOMETHANE_REFORM!$D$5="Default",Master_Switch="On"),"Default data selected for this module, move to the next step of the pathway","")</f>
        <v/>
      </c>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667</v>
      </c>
      <c r="D8" s="183" t="s">
        <v>582</v>
      </c>
      <c r="E8" s="35"/>
      <c r="F8" s="21"/>
      <c r="G8" s="21"/>
      <c r="H8" s="20"/>
      <c r="I8" s="20"/>
      <c r="J8" s="307"/>
      <c r="K8" s="309"/>
      <c r="L8" s="247">
        <f t="shared" ref="L8:L17" si="0">IF($D8="MWh/yr (LHV)",$E8,$J8*$E8/Conversion_kWh_to_MJ)</f>
        <v>0</v>
      </c>
      <c r="M8" s="12"/>
      <c r="P8" s="110"/>
      <c r="Q8" s="110"/>
      <c r="R8" s="110"/>
      <c r="S8" s="12"/>
      <c r="U8" s="24"/>
      <c r="V8" s="12"/>
    </row>
    <row r="9" spans="1:26">
      <c r="B9" s="190" t="s">
        <v>592</v>
      </c>
      <c r="C9" s="188" t="s">
        <v>646</v>
      </c>
      <c r="D9" s="183" t="s">
        <v>747</v>
      </c>
      <c r="E9" s="35"/>
      <c r="F9" s="21"/>
      <c r="G9" s="21"/>
      <c r="H9" s="20"/>
      <c r="I9" s="36"/>
      <c r="J9" s="307"/>
      <c r="K9" s="309"/>
      <c r="L9" s="247">
        <f t="shared" si="0"/>
        <v>0</v>
      </c>
      <c r="M9" s="12"/>
      <c r="P9" s="35" t="str">
        <f>IF(B9="", "", IF(D9="MWh/yr (LHV)", "Use column to right", "Enter data here"))</f>
        <v>Use column to right</v>
      </c>
      <c r="Q9" s="35" t="e">
        <f>INDEX(Assumptions!$F$5:$AJ$5,1,MATCH(Initial_questions!$E$24,Assumptions!$F$4:$AJ$4,0))*1000/Conversion_kWh_to_MJ</f>
        <v>#N/A</v>
      </c>
      <c r="R9" s="35" t="s">
        <v>896</v>
      </c>
      <c r="S9" s="247" t="str">
        <f t="shared" ref="S9:S17" si="1">IFERROR(IF(D9="tonnes/yr", $P9*$E9/($L$20*3.6), $Q9*$E9*3.6/($L$20*3.6)), "Unfilled fields to left")</f>
        <v>Unfilled fields to left</v>
      </c>
      <c r="U9" s="25"/>
      <c r="V9" s="12"/>
    </row>
    <row r="10" spans="1:26">
      <c r="B10" s="190" t="s">
        <v>592</v>
      </c>
      <c r="C10" s="188"/>
      <c r="D10" s="183"/>
      <c r="E10" s="35"/>
      <c r="F10" s="21"/>
      <c r="G10" s="21"/>
      <c r="H10" s="20"/>
      <c r="I10" s="36"/>
      <c r="J10" s="307"/>
      <c r="K10" s="309"/>
      <c r="L10" s="247">
        <f t="shared" si="0"/>
        <v>0</v>
      </c>
      <c r="M10" s="12"/>
      <c r="P10" s="35" t="str">
        <f>IF(B10="", "", IF(D10="MWh/yr (LHV)", "Use column to right", "Enter data here"))</f>
        <v>Enter data here</v>
      </c>
      <c r="Q10" s="35" t="str">
        <f t="shared" ref="Q10" si="2">IF(B10="", "", IF(D10="MWh/yr (LHV)", "Enter data here", "Use column to left"))</f>
        <v>Use column to left</v>
      </c>
      <c r="R10" s="35" t="s">
        <v>898</v>
      </c>
      <c r="S10" s="247" t="str">
        <f t="shared" si="1"/>
        <v>Unfilled fields to left</v>
      </c>
      <c r="U10" s="25"/>
      <c r="V10" s="12"/>
    </row>
    <row r="11" spans="1:26">
      <c r="B11" s="190" t="s">
        <v>599</v>
      </c>
      <c r="C11" s="188" t="s">
        <v>600</v>
      </c>
      <c r="D11" s="183" t="s">
        <v>582</v>
      </c>
      <c r="E11" s="35"/>
      <c r="F11" s="21"/>
      <c r="G11" s="21"/>
      <c r="H11" s="20"/>
      <c r="I11" s="36"/>
      <c r="J11" s="307"/>
      <c r="K11" s="309"/>
      <c r="L11" s="247">
        <f t="shared" si="0"/>
        <v>0</v>
      </c>
      <c r="M11" s="12"/>
      <c r="P11" s="35" t="str">
        <f t="shared" ref="P11:P16" si="3">IF(B11="", "", IF(D11="MWh/yr (LHV)", "Use column to right", "Enter data here"))</f>
        <v>Enter data here</v>
      </c>
      <c r="Q11" s="35" t="str">
        <f t="shared" ref="Q11:Q16" si="4">IF(B11="", "", IF(D11="MWh/yr (LHV)", "Enter data here", "Use column to left"))</f>
        <v>Use column to left</v>
      </c>
      <c r="R11" s="35" t="s">
        <v>898</v>
      </c>
      <c r="S11" s="247" t="str">
        <f t="shared" si="1"/>
        <v>Unfilled fields to left</v>
      </c>
      <c r="U11" s="25"/>
      <c r="V11" s="12"/>
    </row>
    <row r="12" spans="1:26">
      <c r="B12" s="190" t="s">
        <v>599</v>
      </c>
      <c r="C12" s="188" t="s">
        <v>601</v>
      </c>
      <c r="D12" s="183" t="s">
        <v>582</v>
      </c>
      <c r="E12" s="35"/>
      <c r="F12" s="21"/>
      <c r="G12" s="21"/>
      <c r="H12" s="20"/>
      <c r="I12" s="36"/>
      <c r="J12" s="307"/>
      <c r="K12" s="309"/>
      <c r="L12" s="247">
        <f t="shared" si="0"/>
        <v>0</v>
      </c>
      <c r="M12" s="12"/>
      <c r="P12" s="35" t="str">
        <f t="shared" si="3"/>
        <v>Enter data here</v>
      </c>
      <c r="Q12" s="35" t="str">
        <f t="shared" si="4"/>
        <v>Use column to left</v>
      </c>
      <c r="R12" s="35" t="s">
        <v>898</v>
      </c>
      <c r="S12" s="247" t="str">
        <f t="shared" si="1"/>
        <v>Unfilled fields to left</v>
      </c>
      <c r="U12" s="25"/>
      <c r="V12" s="12"/>
    </row>
    <row r="13" spans="1:26">
      <c r="B13" s="190" t="s">
        <v>605</v>
      </c>
      <c r="C13" s="188"/>
      <c r="D13" s="183"/>
      <c r="E13" s="35"/>
      <c r="F13" s="21"/>
      <c r="G13" s="21"/>
      <c r="H13" s="20"/>
      <c r="I13" s="36"/>
      <c r="J13" s="307"/>
      <c r="K13" s="309"/>
      <c r="L13" s="247">
        <f t="shared" si="0"/>
        <v>0</v>
      </c>
      <c r="M13" s="12"/>
      <c r="P13" s="35" t="str">
        <f t="shared" si="3"/>
        <v>Enter data here</v>
      </c>
      <c r="Q13" s="35" t="str">
        <f t="shared" si="4"/>
        <v>Use column to left</v>
      </c>
      <c r="R13" s="35" t="s">
        <v>898</v>
      </c>
      <c r="S13" s="247" t="str">
        <f t="shared" si="1"/>
        <v>Unfilled fields to left</v>
      </c>
      <c r="U13" s="25"/>
      <c r="V13" s="12"/>
    </row>
    <row r="14" spans="1:26">
      <c r="B14" s="190" t="s">
        <v>605</v>
      </c>
      <c r="C14" s="188"/>
      <c r="D14" s="183"/>
      <c r="E14" s="35"/>
      <c r="F14" s="21"/>
      <c r="G14" s="21"/>
      <c r="H14" s="20"/>
      <c r="I14" s="36"/>
      <c r="J14" s="307"/>
      <c r="K14" s="309"/>
      <c r="L14" s="247">
        <f t="shared" si="0"/>
        <v>0</v>
      </c>
      <c r="M14" s="12"/>
      <c r="P14" s="35" t="str">
        <f t="shared" si="3"/>
        <v>Enter data here</v>
      </c>
      <c r="Q14" s="35" t="str">
        <f t="shared" si="4"/>
        <v>Use column to left</v>
      </c>
      <c r="R14" s="35" t="s">
        <v>898</v>
      </c>
      <c r="S14" s="247" t="str">
        <f t="shared" si="1"/>
        <v>Unfilled fields to left</v>
      </c>
      <c r="U14" s="25"/>
      <c r="V14" s="12"/>
    </row>
    <row r="15" spans="1:26">
      <c r="B15" s="190" t="s">
        <v>636</v>
      </c>
      <c r="C15" s="188" t="s">
        <v>609</v>
      </c>
      <c r="D15" s="183" t="s">
        <v>582</v>
      </c>
      <c r="E15" s="35"/>
      <c r="F15" s="21"/>
      <c r="G15" s="21"/>
      <c r="H15" s="20"/>
      <c r="I15" s="36"/>
      <c r="J15" s="307"/>
      <c r="K15" s="309"/>
      <c r="L15" s="247">
        <f t="shared" si="0"/>
        <v>0</v>
      </c>
      <c r="M15" s="12"/>
      <c r="P15" s="35" t="str">
        <f t="shared" si="3"/>
        <v>Enter data here</v>
      </c>
      <c r="Q15" s="35" t="str">
        <f t="shared" si="4"/>
        <v>Use column to left</v>
      </c>
      <c r="R15" s="35" t="s">
        <v>898</v>
      </c>
      <c r="S15" s="247" t="str">
        <f t="shared" si="1"/>
        <v>Unfilled fields to left</v>
      </c>
      <c r="U15" s="25"/>
      <c r="V15" s="12"/>
    </row>
    <row r="16" spans="1:26">
      <c r="B16" s="190" t="s">
        <v>636</v>
      </c>
      <c r="C16" s="15"/>
      <c r="D16" s="183"/>
      <c r="E16" s="35"/>
      <c r="F16" s="21"/>
      <c r="G16" s="21"/>
      <c r="H16" s="20"/>
      <c r="I16" s="36"/>
      <c r="J16" s="307"/>
      <c r="K16" s="309"/>
      <c r="L16" s="247">
        <f t="shared" si="0"/>
        <v>0</v>
      </c>
      <c r="M16" s="12"/>
      <c r="P16" s="35" t="str">
        <f t="shared" si="3"/>
        <v>Enter data here</v>
      </c>
      <c r="Q16" s="35" t="str">
        <f t="shared" si="4"/>
        <v>Use column to left</v>
      </c>
      <c r="R16" s="35" t="s">
        <v>898</v>
      </c>
      <c r="S16" s="247" t="str">
        <f t="shared" si="1"/>
        <v>Unfilled fields to left</v>
      </c>
      <c r="U16" s="25"/>
      <c r="V16" s="12"/>
    </row>
    <row r="17" spans="2:26">
      <c r="B17" s="16"/>
      <c r="C17" s="15"/>
      <c r="D17" s="183"/>
      <c r="E17" s="35"/>
      <c r="F17" s="21"/>
      <c r="G17" s="21"/>
      <c r="H17" s="20"/>
      <c r="I17" s="36"/>
      <c r="J17" s="307"/>
      <c r="K17" s="309"/>
      <c r="L17" s="247">
        <f t="shared" si="0"/>
        <v>0</v>
      </c>
      <c r="M17" s="12"/>
      <c r="P17" s="309"/>
      <c r="Q17" s="307"/>
      <c r="R17" s="309"/>
      <c r="S17" s="247" t="str">
        <f t="shared" si="1"/>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667</v>
      </c>
      <c r="D20" s="183" t="s">
        <v>582</v>
      </c>
      <c r="E20" s="35"/>
      <c r="F20" s="21"/>
      <c r="G20" s="21"/>
      <c r="H20" s="21"/>
      <c r="I20" s="21"/>
      <c r="J20" s="307"/>
      <c r="K20" s="313"/>
      <c r="L20" s="247">
        <f t="shared" ref="L20:L31" si="5">IF($D20="MWh/yr (LHV)",$E20,$J20*$E20/Conversion_kWh_to_MJ)</f>
        <v>0</v>
      </c>
      <c r="N20" s="251" t="str">
        <f>IFERROR(L20/L8,"")</f>
        <v/>
      </c>
      <c r="O20" s="250" t="str">
        <f>IFERROR(L20/(SUM($L$20:$L$22)),"")</f>
        <v/>
      </c>
      <c r="P20" s="42"/>
      <c r="Q20" s="42"/>
      <c r="R20" s="42"/>
      <c r="S20" s="42"/>
      <c r="U20" s="21"/>
      <c r="V20" s="12"/>
    </row>
    <row r="21" spans="2:26" s="14" customFormat="1">
      <c r="B21" s="190" t="s">
        <v>583</v>
      </c>
      <c r="C21" s="188" t="s">
        <v>804</v>
      </c>
      <c r="D21" s="183" t="s">
        <v>582</v>
      </c>
      <c r="E21" s="35"/>
      <c r="F21" s="21"/>
      <c r="G21" s="21"/>
      <c r="H21" s="20"/>
      <c r="I21" s="33"/>
      <c r="J21" s="307"/>
      <c r="K21" s="309"/>
      <c r="L21" s="247">
        <f t="shared" si="5"/>
        <v>0</v>
      </c>
      <c r="M21" s="12"/>
      <c r="N21" s="12"/>
      <c r="O21" s="250" t="str">
        <f t="shared" ref="O21:O22" si="6">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5"/>
        <v>0</v>
      </c>
      <c r="M22" s="12"/>
      <c r="N22" s="12"/>
      <c r="O22" s="250" t="str">
        <f t="shared" si="6"/>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5"/>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5"/>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5"/>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5"/>
        <v>0</v>
      </c>
      <c r="M26" s="12"/>
      <c r="N26" s="12"/>
      <c r="O26" s="12"/>
      <c r="P26" s="110"/>
      <c r="Q26" s="110"/>
      <c r="R26" s="110"/>
      <c r="S26" s="12"/>
      <c r="U26" s="21"/>
    </row>
    <row r="27" spans="2:26" s="14" customFormat="1">
      <c r="B27" s="190" t="s">
        <v>611</v>
      </c>
      <c r="C27" s="188" t="s">
        <v>820</v>
      </c>
      <c r="D27" s="183" t="s">
        <v>582</v>
      </c>
      <c r="E27" s="35"/>
      <c r="F27" s="34"/>
      <c r="G27" s="21"/>
      <c r="H27" s="20"/>
      <c r="I27" s="36"/>
      <c r="J27" s="307"/>
      <c r="K27" s="309"/>
      <c r="L27" s="247">
        <f t="shared" si="5"/>
        <v>0</v>
      </c>
      <c r="M27" s="12"/>
      <c r="N27" s="12"/>
      <c r="O27" s="12"/>
      <c r="P27" s="307">
        <v>1000</v>
      </c>
      <c r="Q27" s="505"/>
      <c r="R27" s="35" t="s">
        <v>821</v>
      </c>
      <c r="S27" s="247"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5"/>
        <v>0</v>
      </c>
      <c r="M28" s="12"/>
      <c r="N28" s="12"/>
      <c r="O28" s="12"/>
      <c r="P28" s="307">
        <f>28*1000</f>
        <v>28000</v>
      </c>
      <c r="Q28" s="505"/>
      <c r="R28" s="35" t="s">
        <v>651</v>
      </c>
      <c r="S28" s="247" t="str">
        <f>IFERROR(IF(D28="tonnes/yr", $P28*$E28/($L$20*3.6), $Q28*$E28*3.6/($L$20*3.6)), "Unfilled fields to left")</f>
        <v>Unfilled fields to left</v>
      </c>
      <c r="U28" s="21"/>
    </row>
    <row r="29" spans="2:26" s="14" customFormat="1">
      <c r="B29" s="190" t="s">
        <v>640</v>
      </c>
      <c r="C29" s="188" t="s">
        <v>824</v>
      </c>
      <c r="D29" s="183" t="s">
        <v>582</v>
      </c>
      <c r="E29" s="35"/>
      <c r="F29" s="21"/>
      <c r="G29" s="21"/>
      <c r="H29" s="20"/>
      <c r="I29" s="36"/>
      <c r="J29" s="307"/>
      <c r="K29" s="309"/>
      <c r="L29" s="247">
        <f t="shared" si="5"/>
        <v>0</v>
      </c>
      <c r="M29" s="12"/>
      <c r="N29" s="12"/>
      <c r="O29" s="12"/>
      <c r="P29" s="35">
        <v>265000</v>
      </c>
      <c r="Q29" s="546"/>
      <c r="R29" s="35" t="s">
        <v>651</v>
      </c>
      <c r="S29" s="247"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5"/>
        <v>0</v>
      </c>
      <c r="M30" s="12"/>
      <c r="N30" s="12"/>
      <c r="O30" s="12"/>
      <c r="P30" s="307"/>
      <c r="Q30" s="505"/>
      <c r="R30" s="309"/>
      <c r="S30" s="247" t="str">
        <f>IFERROR(IF(D30="tonnes/yr", $P30*$E30/($L$20*3.6), $Q30*$E30*3.6/($L$20*3.6)), "Unfilled fields to left")</f>
        <v>Unfilled fields to left</v>
      </c>
      <c r="U30" s="21"/>
    </row>
    <row r="31" spans="2:26" s="14" customFormat="1">
      <c r="B31" s="16"/>
      <c r="C31" s="15"/>
      <c r="D31" s="183"/>
      <c r="E31" s="35"/>
      <c r="F31" s="21"/>
      <c r="G31" s="21"/>
      <c r="H31" s="20"/>
      <c r="I31" s="36"/>
      <c r="J31" s="307"/>
      <c r="K31" s="309"/>
      <c r="L31" s="247">
        <f t="shared" si="5"/>
        <v>0</v>
      </c>
      <c r="M31" s="12"/>
      <c r="N31" s="12"/>
      <c r="O31" s="12"/>
      <c r="P31" s="307"/>
      <c r="Q31" s="505"/>
      <c r="R31" s="309"/>
      <c r="S31" s="247"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40"/>
      <c r="V32" s="12"/>
    </row>
    <row r="33" spans="2:22">
      <c r="D33" s="17"/>
      <c r="E33" s="144"/>
      <c r="J33" s="39"/>
      <c r="K33" s="39"/>
      <c r="M33" s="12"/>
      <c r="P33" s="39"/>
      <c r="Q33" s="39"/>
      <c r="R33" s="38" t="s">
        <v>641</v>
      </c>
      <c r="S33" s="157">
        <f>SUM(S7:S32)</f>
        <v>0</v>
      </c>
      <c r="V33" s="12"/>
    </row>
    <row r="34" spans="2:22">
      <c r="B34" s="149" t="s">
        <v>94</v>
      </c>
      <c r="C34" s="163"/>
      <c r="D34" s="163"/>
      <c r="E34" s="527"/>
      <c r="I34" s="12"/>
      <c r="J34" s="110"/>
      <c r="K34" s="110"/>
      <c r="L34" s="110"/>
      <c r="M34" s="12"/>
      <c r="P34" s="110"/>
      <c r="Q34" s="110"/>
      <c r="R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c r="C36" s="15"/>
      <c r="D36" s="15"/>
      <c r="E36" s="535"/>
      <c r="H36" s="12"/>
      <c r="I36" s="12"/>
      <c r="J36" s="110"/>
      <c r="K36" s="110"/>
      <c r="L36" s="110"/>
      <c r="M36" s="12"/>
      <c r="P36" s="110"/>
      <c r="Q36" s="110"/>
      <c r="R36" s="110"/>
      <c r="S36" s="12"/>
      <c r="U36" s="25"/>
      <c r="V36" s="12"/>
    </row>
    <row r="37" spans="2:22">
      <c r="B37" s="16"/>
      <c r="C37" s="15"/>
      <c r="D37" s="15"/>
      <c r="E37" s="535"/>
      <c r="J37" s="39"/>
      <c r="K37" s="39"/>
      <c r="P37" s="39"/>
      <c r="Q37" s="39"/>
      <c r="R37" s="39"/>
      <c r="U37" s="25"/>
    </row>
    <row r="38" spans="2:22">
      <c r="B38" s="16"/>
      <c r="C38" s="15"/>
      <c r="D38" s="15"/>
      <c r="E38" s="535"/>
      <c r="J38" s="39"/>
      <c r="K38" s="39"/>
      <c r="P38" s="39"/>
      <c r="Q38" s="39"/>
      <c r="R38" s="39"/>
      <c r="U38" s="25"/>
    </row>
    <row r="39" spans="2:22">
      <c r="E39" s="110"/>
      <c r="J39" s="39"/>
      <c r="K39" s="39"/>
      <c r="P39" s="39"/>
      <c r="Q39" s="39"/>
      <c r="R39" s="39"/>
    </row>
    <row r="40" spans="2:22">
      <c r="E40" s="110"/>
      <c r="J40" s="39"/>
      <c r="K40" s="39"/>
      <c r="P40" s="39"/>
      <c r="Q40" s="39"/>
      <c r="R40" s="39"/>
    </row>
    <row r="41" spans="2:22">
      <c r="E41" s="110"/>
      <c r="J41" s="39"/>
      <c r="K41" s="39"/>
      <c r="P41" s="39"/>
      <c r="Q41" s="39"/>
      <c r="R41" s="39"/>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1" xr:uid="{EC0CFA44-26CE-4002-AF0C-1B44CABD9F5C}">
      <formula1>Flow_units</formula1>
    </dataValidation>
    <dataValidation type="custom" allowBlank="1" showInputMessage="1" showErrorMessage="1" error="Please do not change this formula" prompt="Please do not change this formula" sqref="L1:L1048576 S6:S1048576 T4 M4 S1:S4 N1:O4 N6:O1048576 N5:S5" xr:uid="{1537DE9B-1C2F-4A19-A70E-5B165B93CCFA}">
      <formula1>"Please do not change this formula"</formula1>
    </dataValidation>
  </dataValidations>
  <hyperlinks>
    <hyperlink ref="I2:J2" location="'Biogas Feedstock Transport'!A1" display="Go to the next step of this pathway" xr:uid="{E4EABEAE-1E61-4115-85B7-3DF4AA74CEA5}"/>
    <hyperlink ref="I2:K2" location="Biogas_Feedstock_Transport!A1" display="Go to the next step of this pathway" xr:uid="{6DCA5848-89E2-4509-84A4-9091B947A448}"/>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2" id="{18AFED12-D43F-4265-9F9A-BA399CF9CFDE}">
            <xm:f>AND(Initial_questions!$E$21&lt;&gt;"Biomethane Steam Methane Reformer (SMR) with CCS",Initial_questions!$E$21&lt;&gt;"Biomethane Steam Methane Reformer (SMR) without CCS", Initial_questions!$E$21&lt;&gt;"Biomethane Autothermal Reformer (ATR) with CCS",Initial_questions!$E$21&lt;&gt;"Biomethane Autothermal Reformer (ATR)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42" id="{9DBC3E5B-F482-460A-9FFF-460E3B927218}">
            <xm:f>AND(GHG_BIOMETHANE_REFORM!$D$5="Default",Master_Switch="On")</xm:f>
            <x14:dxf>
              <font>
                <color theme="0"/>
              </font>
              <fill>
                <patternFill>
                  <bgColor theme="0"/>
                </patternFill>
              </fill>
              <border>
                <left/>
                <right/>
                <top/>
                <bottom/>
              </border>
            </x14:dxf>
          </x14:cfRule>
          <xm:sqref>A4:XFD100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E1CF8-649C-4E14-9171-DC0132C95501}">
  <sheetPr codeName="Sheet25">
    <tabColor rgb="FFFF9900"/>
  </sheetPr>
  <dimension ref="A1:Z188"/>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IF(AND(Initial_questions!$E$21&lt;&gt;"Biomethane Steam Methane Reformer (SMR) with CCS",Initial_questions!$E$21&lt;&gt;"Biomethane Steam Methane Reformer (SMR) without CCS", Initial_questions!$E$21&lt;&gt;"Biomethane Autothermal Reformer (ATR) with CCS",Initial_questions!$E$21&lt;&gt;"Biomethane Autothermal Reformer (ATR) without CCS",Master_Switch="On"),"User should not fill in this sheet, but switch to other non-blank GHG worksheets","")</f>
        <v>User should not fill in this sheet, but switch to other non-blank GHG worksheets</v>
      </c>
      <c r="E1" s="262"/>
    </row>
    <row r="2" spans="1:26" ht="20.399999999999999" customHeight="1">
      <c r="B2" s="83" t="str">
        <f>IF(AND(GHG_BIOMETHANE_REFORM!$D$5="Default",Master_Switch="On"),"Default data selected for this module, move to the next step of the pathway","")</f>
        <v/>
      </c>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667</v>
      </c>
      <c r="D8" s="183" t="s">
        <v>582</v>
      </c>
      <c r="E8" s="35"/>
      <c r="F8" s="21"/>
      <c r="G8" s="21"/>
      <c r="H8" s="20"/>
      <c r="I8" s="20"/>
      <c r="J8" s="307"/>
      <c r="K8" s="309"/>
      <c r="L8" s="247">
        <f t="shared" ref="L8:L17" si="0">IF($D8="MWh/yr (LHV)",$E8,$J8*$E8/Conversion_kWh_to_MJ)</f>
        <v>0</v>
      </c>
      <c r="M8" s="12"/>
      <c r="P8" s="110"/>
      <c r="Q8" s="110"/>
      <c r="R8" s="110"/>
      <c r="S8" s="12"/>
      <c r="U8" s="24"/>
      <c r="V8" s="12"/>
    </row>
    <row r="9" spans="1:26">
      <c r="B9" s="190" t="s">
        <v>592</v>
      </c>
      <c r="C9" s="188" t="s">
        <v>646</v>
      </c>
      <c r="D9" s="183" t="s">
        <v>747</v>
      </c>
      <c r="E9" s="35"/>
      <c r="F9" s="21"/>
      <c r="G9" s="21"/>
      <c r="H9" s="20"/>
      <c r="I9" s="36"/>
      <c r="J9" s="307"/>
      <c r="K9" s="309"/>
      <c r="L9" s="247">
        <f t="shared" si="0"/>
        <v>0</v>
      </c>
      <c r="M9" s="12"/>
      <c r="P9" s="35" t="str">
        <f>IF(B9="", "", IF(D9="MWh/yr (LHV)", "Use column to right", "Enter data here"))</f>
        <v>Use column to right</v>
      </c>
      <c r="Q9" s="35" t="e">
        <f>INDEX(Assumptions!$F$5:$AJ$5,1,MATCH(Initial_questions!$E$24,Assumptions!$F$4:$AJ$4,0))*1000/Conversion_kWh_to_MJ</f>
        <v>#N/A</v>
      </c>
      <c r="R9" s="35" t="s">
        <v>896</v>
      </c>
      <c r="S9" s="247" t="str">
        <f t="shared" ref="S9:S17" si="1">IFERROR(IF(D9="tonnes/yr", $P9*$E9/($L$20*3.6), $Q9*$E9*3.6/($L$20*3.6)), "Unfilled fields to left")</f>
        <v>Unfilled fields to left</v>
      </c>
      <c r="U9" s="25"/>
      <c r="V9" s="12"/>
    </row>
    <row r="10" spans="1:26">
      <c r="B10" s="190" t="s">
        <v>592</v>
      </c>
      <c r="C10" s="188"/>
      <c r="D10" s="183"/>
      <c r="E10" s="35"/>
      <c r="F10" s="21"/>
      <c r="G10" s="21"/>
      <c r="H10" s="20"/>
      <c r="I10" s="36"/>
      <c r="J10" s="307"/>
      <c r="K10" s="309"/>
      <c r="L10" s="247">
        <f t="shared" si="0"/>
        <v>0</v>
      </c>
      <c r="M10" s="12"/>
      <c r="P10" s="35" t="str">
        <f>IF(B10="", "", IF(D10="MWh/yr (LHV)", "Use column to right", "Enter data here"))</f>
        <v>Enter data here</v>
      </c>
      <c r="Q10" s="35" t="str">
        <f t="shared" ref="Q10" si="2">IF(B10="", "", IF(D10="MWh/yr (LHV)", "Enter data here", "Use column to left"))</f>
        <v>Use column to left</v>
      </c>
      <c r="R10" s="35" t="s">
        <v>898</v>
      </c>
      <c r="S10" s="247" t="str">
        <f t="shared" si="1"/>
        <v>Unfilled fields to left</v>
      </c>
      <c r="U10" s="25"/>
      <c r="V10" s="12"/>
    </row>
    <row r="11" spans="1:26">
      <c r="B11" s="190" t="s">
        <v>599</v>
      </c>
      <c r="C11" s="188" t="s">
        <v>600</v>
      </c>
      <c r="D11" s="183" t="s">
        <v>582</v>
      </c>
      <c r="E11" s="35"/>
      <c r="F11" s="24"/>
      <c r="G11" s="21"/>
      <c r="H11" s="20"/>
      <c r="I11" s="36"/>
      <c r="J11" s="307"/>
      <c r="K11" s="309"/>
      <c r="L11" s="247">
        <f t="shared" si="0"/>
        <v>0</v>
      </c>
      <c r="M11" s="12"/>
      <c r="P11" s="35" t="str">
        <f t="shared" ref="P11:P16" si="3">IF(B11="", "", IF(D11="MWh/yr (LHV)", "Use column to right", "Enter data here"))</f>
        <v>Enter data here</v>
      </c>
      <c r="Q11" s="35" t="str">
        <f t="shared" ref="Q11:Q16" si="4">IF(B11="", "", IF(D11="MWh/yr (LHV)", "Enter data here", "Use column to left"))</f>
        <v>Use column to left</v>
      </c>
      <c r="R11" s="35" t="s">
        <v>898</v>
      </c>
      <c r="S11" s="247" t="str">
        <f t="shared" si="1"/>
        <v>Unfilled fields to left</v>
      </c>
      <c r="U11" s="25"/>
      <c r="V11" s="12"/>
    </row>
    <row r="12" spans="1:26">
      <c r="B12" s="190" t="s">
        <v>599</v>
      </c>
      <c r="C12" s="188" t="s">
        <v>585</v>
      </c>
      <c r="D12" s="183" t="s">
        <v>582</v>
      </c>
      <c r="E12" s="35"/>
      <c r="F12" s="21"/>
      <c r="G12" s="21"/>
      <c r="H12" s="20"/>
      <c r="I12" s="36"/>
      <c r="J12" s="307"/>
      <c r="K12" s="309"/>
      <c r="L12" s="247">
        <f t="shared" si="0"/>
        <v>0</v>
      </c>
      <c r="M12" s="12"/>
      <c r="P12" s="35" t="str">
        <f t="shared" si="3"/>
        <v>Enter data here</v>
      </c>
      <c r="Q12" s="35" t="str">
        <f t="shared" si="4"/>
        <v>Use column to left</v>
      </c>
      <c r="R12" s="35" t="s">
        <v>898</v>
      </c>
      <c r="S12" s="247" t="str">
        <f t="shared" si="1"/>
        <v>Unfilled fields to left</v>
      </c>
      <c r="U12" s="25"/>
      <c r="V12" s="12"/>
    </row>
    <row r="13" spans="1:26">
      <c r="B13" s="190" t="s">
        <v>605</v>
      </c>
      <c r="C13" s="188" t="s">
        <v>635</v>
      </c>
      <c r="D13" s="183" t="s">
        <v>582</v>
      </c>
      <c r="E13" s="35"/>
      <c r="F13" s="21"/>
      <c r="G13" s="21"/>
      <c r="H13" s="20"/>
      <c r="I13" s="36"/>
      <c r="J13" s="307"/>
      <c r="K13" s="309"/>
      <c r="L13" s="247">
        <f t="shared" si="0"/>
        <v>0</v>
      </c>
      <c r="M13" s="12"/>
      <c r="P13" s="35" t="str">
        <f t="shared" si="3"/>
        <v>Enter data here</v>
      </c>
      <c r="Q13" s="35" t="str">
        <f t="shared" si="4"/>
        <v>Use column to left</v>
      </c>
      <c r="R13" s="35" t="s">
        <v>898</v>
      </c>
      <c r="S13" s="247" t="str">
        <f t="shared" si="1"/>
        <v>Unfilled fields to left</v>
      </c>
      <c r="U13" s="25"/>
      <c r="V13" s="12"/>
    </row>
    <row r="14" spans="1:26">
      <c r="B14" s="190" t="s">
        <v>605</v>
      </c>
      <c r="C14" s="188"/>
      <c r="D14" s="183"/>
      <c r="E14" s="35"/>
      <c r="F14" s="21"/>
      <c r="G14" s="21"/>
      <c r="H14" s="20"/>
      <c r="I14" s="36"/>
      <c r="J14" s="307"/>
      <c r="K14" s="309"/>
      <c r="L14" s="247">
        <f t="shared" si="0"/>
        <v>0</v>
      </c>
      <c r="M14" s="12"/>
      <c r="P14" s="35" t="str">
        <f t="shared" si="3"/>
        <v>Enter data here</v>
      </c>
      <c r="Q14" s="35" t="str">
        <f t="shared" si="4"/>
        <v>Use column to left</v>
      </c>
      <c r="R14" s="35" t="s">
        <v>898</v>
      </c>
      <c r="S14" s="247" t="str">
        <f t="shared" si="1"/>
        <v>Unfilled fields to left</v>
      </c>
      <c r="U14" s="25"/>
      <c r="V14" s="12"/>
    </row>
    <row r="15" spans="1:26">
      <c r="B15" s="190" t="s">
        <v>636</v>
      </c>
      <c r="C15" s="188" t="s">
        <v>609</v>
      </c>
      <c r="D15" s="183" t="s">
        <v>582</v>
      </c>
      <c r="E15" s="35"/>
      <c r="F15" s="21"/>
      <c r="G15" s="21"/>
      <c r="H15" s="20"/>
      <c r="I15" s="36"/>
      <c r="J15" s="307"/>
      <c r="K15" s="309"/>
      <c r="L15" s="247">
        <f t="shared" si="0"/>
        <v>0</v>
      </c>
      <c r="M15" s="12"/>
      <c r="P15" s="35" t="str">
        <f t="shared" si="3"/>
        <v>Enter data here</v>
      </c>
      <c r="Q15" s="35" t="str">
        <f t="shared" si="4"/>
        <v>Use column to left</v>
      </c>
      <c r="R15" s="35" t="s">
        <v>898</v>
      </c>
      <c r="S15" s="247" t="str">
        <f t="shared" si="1"/>
        <v>Unfilled fields to left</v>
      </c>
      <c r="U15" s="25"/>
      <c r="V15" s="12"/>
    </row>
    <row r="16" spans="1:26">
      <c r="B16" s="190" t="s">
        <v>636</v>
      </c>
      <c r="C16" s="15"/>
      <c r="D16" s="183"/>
      <c r="E16" s="35"/>
      <c r="F16" s="21"/>
      <c r="G16" s="21"/>
      <c r="H16" s="20"/>
      <c r="I16" s="36"/>
      <c r="J16" s="307"/>
      <c r="K16" s="309"/>
      <c r="L16" s="247">
        <f t="shared" si="0"/>
        <v>0</v>
      </c>
      <c r="M16" s="12"/>
      <c r="P16" s="35" t="str">
        <f t="shared" si="3"/>
        <v>Enter data here</v>
      </c>
      <c r="Q16" s="35" t="str">
        <f t="shared" si="4"/>
        <v>Use column to left</v>
      </c>
      <c r="R16" s="35" t="s">
        <v>898</v>
      </c>
      <c r="S16" s="247" t="str">
        <f t="shared" si="1"/>
        <v>Unfilled fields to left</v>
      </c>
      <c r="U16" s="25"/>
      <c r="V16" s="12"/>
    </row>
    <row r="17" spans="2:26">
      <c r="B17" s="16"/>
      <c r="C17" s="15"/>
      <c r="D17" s="183"/>
      <c r="E17" s="35"/>
      <c r="F17" s="21"/>
      <c r="G17" s="21"/>
      <c r="H17" s="20"/>
      <c r="I17" s="36"/>
      <c r="J17" s="307"/>
      <c r="K17" s="309"/>
      <c r="L17" s="247">
        <f t="shared" si="0"/>
        <v>0</v>
      </c>
      <c r="M17" s="12"/>
      <c r="P17" s="309"/>
      <c r="Q17" s="307"/>
      <c r="R17" s="309"/>
      <c r="S17" s="247" t="str">
        <f t="shared" si="1"/>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667</v>
      </c>
      <c r="D20" s="183" t="s">
        <v>582</v>
      </c>
      <c r="E20" s="35"/>
      <c r="F20" s="21"/>
      <c r="G20" s="21"/>
      <c r="H20" s="21"/>
      <c r="I20" s="21"/>
      <c r="J20" s="307"/>
      <c r="K20" s="313"/>
      <c r="L20" s="247">
        <f t="shared" ref="L20:L31" si="5">IF($D20="MWh/yr (LHV)",$E20,$J20*$E20/Conversion_kWh_to_MJ)</f>
        <v>0</v>
      </c>
      <c r="N20" s="251" t="str">
        <f>IFERROR(L20/L8,"")</f>
        <v/>
      </c>
      <c r="O20" s="250" t="str">
        <f>IFERROR(L20/(SUM($L$20:$L$22)),"")</f>
        <v/>
      </c>
      <c r="P20" s="42"/>
      <c r="Q20" s="42"/>
      <c r="R20" s="42"/>
      <c r="S20" s="42"/>
      <c r="U20" s="21"/>
      <c r="V20" s="12"/>
    </row>
    <row r="21" spans="2:26" s="14" customFormat="1">
      <c r="B21" s="190" t="s">
        <v>583</v>
      </c>
      <c r="C21" s="188" t="s">
        <v>804</v>
      </c>
      <c r="D21" s="183" t="s">
        <v>582</v>
      </c>
      <c r="E21" s="35"/>
      <c r="F21" s="21"/>
      <c r="G21" s="21"/>
      <c r="H21" s="20"/>
      <c r="I21" s="33"/>
      <c r="J21" s="307"/>
      <c r="K21" s="309"/>
      <c r="L21" s="247">
        <f t="shared" si="5"/>
        <v>0</v>
      </c>
      <c r="M21" s="12"/>
      <c r="N21" s="12"/>
      <c r="O21" s="250" t="str">
        <f t="shared" ref="O21:O22" si="6">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5"/>
        <v>0</v>
      </c>
      <c r="M22" s="12"/>
      <c r="N22" s="12"/>
      <c r="O22" s="250" t="str">
        <f t="shared" si="6"/>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5"/>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5"/>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5"/>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5"/>
        <v>0</v>
      </c>
      <c r="M26" s="12"/>
      <c r="N26" s="12"/>
      <c r="O26" s="12"/>
      <c r="P26" s="110"/>
      <c r="Q26" s="110"/>
      <c r="R26" s="110"/>
      <c r="S26" s="12"/>
      <c r="U26" s="21"/>
    </row>
    <row r="27" spans="2:26" s="14" customFormat="1">
      <c r="B27" s="190" t="s">
        <v>611</v>
      </c>
      <c r="C27" s="188" t="s">
        <v>820</v>
      </c>
      <c r="D27" s="183" t="s">
        <v>582</v>
      </c>
      <c r="E27" s="35"/>
      <c r="F27" s="34"/>
      <c r="G27" s="21"/>
      <c r="H27" s="20"/>
      <c r="I27" s="36"/>
      <c r="J27" s="307"/>
      <c r="K27" s="309"/>
      <c r="L27" s="247">
        <f t="shared" si="5"/>
        <v>0</v>
      </c>
      <c r="M27" s="12"/>
      <c r="N27" s="12"/>
      <c r="O27" s="12"/>
      <c r="P27" s="307">
        <v>1000</v>
      </c>
      <c r="Q27" s="505"/>
      <c r="R27" s="35" t="s">
        <v>821</v>
      </c>
      <c r="S27" s="247"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5"/>
        <v>0</v>
      </c>
      <c r="M28" s="12"/>
      <c r="N28" s="12"/>
      <c r="O28" s="12"/>
      <c r="P28" s="307">
        <f>28*1000</f>
        <v>28000</v>
      </c>
      <c r="Q28" s="505"/>
      <c r="R28" s="35" t="s">
        <v>651</v>
      </c>
      <c r="S28" s="247" t="str">
        <f>IFERROR(IF(D28="tonnes/yr", $P28*$E28/($L$20*3.6), $Q28*$E28*3.6/($L$20*3.6)), "Unfilled fields to left")</f>
        <v>Unfilled fields to left</v>
      </c>
      <c r="U28" s="21"/>
    </row>
    <row r="29" spans="2:26" s="14" customFormat="1">
      <c r="B29" s="190" t="s">
        <v>640</v>
      </c>
      <c r="C29" s="188" t="s">
        <v>824</v>
      </c>
      <c r="D29" s="183" t="s">
        <v>582</v>
      </c>
      <c r="E29" s="35"/>
      <c r="F29" s="21"/>
      <c r="G29" s="21"/>
      <c r="H29" s="20"/>
      <c r="I29" s="36"/>
      <c r="J29" s="307"/>
      <c r="K29" s="309"/>
      <c r="L29" s="247">
        <f t="shared" si="5"/>
        <v>0</v>
      </c>
      <c r="M29" s="12"/>
      <c r="N29" s="12"/>
      <c r="O29" s="12"/>
      <c r="P29" s="35">
        <v>265000</v>
      </c>
      <c r="Q29" s="546"/>
      <c r="R29" s="35" t="s">
        <v>651</v>
      </c>
      <c r="S29" s="247"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5"/>
        <v>0</v>
      </c>
      <c r="M30" s="12"/>
      <c r="N30" s="12"/>
      <c r="O30" s="12"/>
      <c r="P30" s="307"/>
      <c r="Q30" s="505"/>
      <c r="R30" s="309"/>
      <c r="S30" s="247" t="str">
        <f>IFERROR(IF(D30="tonnes/yr", $P30*$E30/($L$20*3.6), $Q30*$E30*3.6/($L$20*3.6)), "Unfilled fields to left")</f>
        <v>Unfilled fields to left</v>
      </c>
      <c r="U30" s="21"/>
    </row>
    <row r="31" spans="2:26" s="14" customFormat="1">
      <c r="B31" s="16"/>
      <c r="C31" s="15"/>
      <c r="D31" s="183"/>
      <c r="E31" s="35"/>
      <c r="F31" s="21"/>
      <c r="G31" s="21"/>
      <c r="H31" s="20"/>
      <c r="I31" s="36"/>
      <c r="J31" s="307"/>
      <c r="K31" s="309"/>
      <c r="L31" s="247">
        <f t="shared" si="5"/>
        <v>0</v>
      </c>
      <c r="M31" s="12"/>
      <c r="N31" s="12"/>
      <c r="O31" s="12"/>
      <c r="P31" s="307"/>
      <c r="Q31" s="505"/>
      <c r="R31" s="309"/>
      <c r="S31" s="247"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40"/>
      <c r="V32" s="12"/>
    </row>
    <row r="33" spans="2:22">
      <c r="D33" s="17"/>
      <c r="E33" s="144"/>
      <c r="J33" s="39"/>
      <c r="K33" s="39"/>
      <c r="M33" s="12"/>
      <c r="P33" s="39"/>
      <c r="Q33" s="39"/>
      <c r="R33" s="38" t="s">
        <v>641</v>
      </c>
      <c r="S33" s="157">
        <f>SUM(S7:S32)</f>
        <v>0</v>
      </c>
      <c r="T33" s="94"/>
      <c r="V33" s="12"/>
    </row>
    <row r="34" spans="2:22">
      <c r="B34" s="149" t="s">
        <v>94</v>
      </c>
      <c r="C34" s="163"/>
      <c r="D34" s="163"/>
      <c r="E34" s="527"/>
      <c r="I34" s="12"/>
      <c r="J34" s="110"/>
      <c r="K34" s="110"/>
      <c r="L34" s="110"/>
      <c r="M34" s="12"/>
      <c r="P34" s="110"/>
      <c r="Q34" s="110"/>
      <c r="R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t="s">
        <v>709</v>
      </c>
      <c r="C36" s="15" t="s">
        <v>710</v>
      </c>
      <c r="D36" s="15" t="s">
        <v>222</v>
      </c>
      <c r="E36" s="529"/>
      <c r="H36" s="12"/>
      <c r="I36" s="12"/>
      <c r="J36" s="110"/>
      <c r="K36" s="110"/>
      <c r="L36" s="110"/>
      <c r="M36" s="12"/>
      <c r="P36" s="110"/>
      <c r="Q36" s="110"/>
      <c r="R36" s="110"/>
      <c r="S36" s="12"/>
      <c r="U36" s="25"/>
      <c r="V36" s="12"/>
    </row>
    <row r="37" spans="2:22">
      <c r="B37" s="16"/>
      <c r="C37" s="15"/>
      <c r="D37" s="15"/>
      <c r="E37" s="535"/>
      <c r="J37" s="39"/>
      <c r="K37" s="39"/>
      <c r="P37" s="39"/>
      <c r="Q37" s="39"/>
      <c r="R37" s="39"/>
      <c r="U37" s="25"/>
    </row>
    <row r="38" spans="2:22">
      <c r="B38" s="16"/>
      <c r="C38" s="15"/>
      <c r="D38" s="15"/>
      <c r="E38" s="535"/>
      <c r="J38" s="39"/>
      <c r="K38" s="39"/>
      <c r="P38" s="39"/>
      <c r="Q38" s="39"/>
      <c r="R38" s="39"/>
      <c r="U38" s="25"/>
    </row>
    <row r="39" spans="2:22">
      <c r="E39" s="110"/>
      <c r="J39" s="39"/>
      <c r="K39" s="39"/>
      <c r="P39" s="39"/>
      <c r="Q39" s="39"/>
      <c r="R39" s="39"/>
    </row>
    <row r="40" spans="2:22">
      <c r="E40" s="110"/>
      <c r="J40" s="39"/>
      <c r="K40" s="39"/>
      <c r="P40" s="39"/>
      <c r="Q40" s="39"/>
      <c r="R40" s="39"/>
    </row>
    <row r="41" spans="2:22">
      <c r="E41" s="110"/>
      <c r="J41" s="39"/>
      <c r="K41" s="39"/>
      <c r="P41" s="39"/>
      <c r="Q41" s="39"/>
      <c r="R41" s="39"/>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1" xr:uid="{C6F404F1-1F85-42EB-B2D8-58635D8D1B63}">
      <formula1>Flow_units</formula1>
    </dataValidation>
    <dataValidation type="custom" allowBlank="1" showInputMessage="1" showErrorMessage="1" error="Please do not change this formula" prompt="Please do not change this formula" sqref="L1:L1048576 S6:S1048576 T4 M4 S1:S4 N1:O4 N6:O1048576 N5:S5" xr:uid="{17F28FCC-D53E-4252-B366-D802633E8088}">
      <formula1>"Please do not change this formula"</formula1>
    </dataValidation>
  </dataValidations>
  <hyperlinks>
    <hyperlink ref="I2:J2" location="'Biogas+Biomethane Upgrading'!A1" display="Go to the next step of this pathway" xr:uid="{A381316F-B512-470C-ADA2-9735850A4A2F}"/>
    <hyperlink ref="I2:K2" location="'Biogas+Biomethane_Upgrading'!A1" display="Go to the next step of this pathway" xr:uid="{1E95A4E4-F0E4-4F7E-9AC3-72463EE5C999}"/>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1" id="{F53727A9-0EC8-42E3-8C76-DB17C349A01F}">
            <xm:f>AND(Initial_questions!$E$21&lt;&gt;"Biomethane Steam Methane Reformer (SMR) with CCS",Initial_questions!$E$21&lt;&gt;"Biomethane Steam Methane Reformer (SMR) without CCS", Initial_questions!$E$21&lt;&gt;"Biomethane Autothermal Reformer (ATR) with CCS",Initial_questions!$E$21&lt;&gt;"Biomethane Autothermal Reformer (ATR)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47" id="{3491BF82-90CA-4169-BB14-8CE60EB3D4BF}">
            <xm:f>AND(GHG_BIOMETHANE_REFORM!$D$5="Default",Master_Switch="On")</xm:f>
            <x14:dxf>
              <font>
                <color theme="0"/>
              </font>
              <fill>
                <patternFill>
                  <bgColor theme="0"/>
                </patternFill>
              </fill>
              <border>
                <left/>
                <right/>
                <top/>
                <bottom/>
              </border>
            </x14:dxf>
          </x14:cfRule>
          <xm:sqref>A4:XFD100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A79EB-973B-484C-ACC9-120C53970D93}">
  <sheetPr codeName="Sheet26">
    <tabColor rgb="FFFF9900"/>
  </sheetPr>
  <dimension ref="A1:Z187"/>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IF(AND(Initial_questions!$E$21&lt;&gt;"Biomethane Steam Methane Reformer (SMR) with CCS",Initial_questions!$E$21&lt;&gt;"Biomethane Steam Methane Reformer (SMR) without CCS", Initial_questions!$E$21&lt;&gt;"Biomethane Autothermal Reformer (ATR) with CCS",Initial_questions!$E$21&lt;&gt;"Biomethane Autothermal Reformer (ATR) without CCS",Master_Switch="On"),"User should not fill in this sheet, but switch to other non-blank GHG worksheets","")</f>
        <v>User should not fill in this sheet, but switch to other non-blank GHG worksheets</v>
      </c>
      <c r="E1" s="262"/>
    </row>
    <row r="2" spans="1:26" ht="20.399999999999999" customHeight="1">
      <c r="B2" s="83" t="str">
        <f>IF(AND(GHG_BIOMETHANE_REFORM!D5="Default",Master_Switch="On"),"Default data selected for this module, move to the next step of the pathway","")</f>
        <v/>
      </c>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667</v>
      </c>
      <c r="D8" s="183" t="s">
        <v>582</v>
      </c>
      <c r="E8" s="35"/>
      <c r="F8" s="24"/>
      <c r="G8" s="21"/>
      <c r="H8" s="20"/>
      <c r="I8" s="20"/>
      <c r="J8" s="307"/>
      <c r="K8" s="309"/>
      <c r="L8" s="247">
        <f t="shared" ref="L8:L17" si="0">IF($D8="MWh/yr (LHV)",$E8,$J8*$E8/Conversion_kWh_to_MJ)</f>
        <v>0</v>
      </c>
      <c r="M8" s="12"/>
      <c r="P8" s="110"/>
      <c r="Q8" s="110"/>
      <c r="R8" s="110"/>
      <c r="S8" s="12"/>
      <c r="U8" s="24"/>
      <c r="V8" s="12"/>
    </row>
    <row r="9" spans="1:26">
      <c r="B9" s="190" t="s">
        <v>592</v>
      </c>
      <c r="C9" s="188" t="s">
        <v>668</v>
      </c>
      <c r="D9" s="183" t="s">
        <v>747</v>
      </c>
      <c r="E9" s="35"/>
      <c r="F9" s="21"/>
      <c r="G9" s="21"/>
      <c r="H9" s="20"/>
      <c r="I9" s="36"/>
      <c r="J9" s="307"/>
      <c r="K9" s="309"/>
      <c r="L9" s="247">
        <f t="shared" si="0"/>
        <v>0</v>
      </c>
      <c r="M9" s="12"/>
      <c r="P9" s="35" t="str">
        <f>IF(B9="", "", IF(D9="MWh/yr (LHV)", "Use column to right", "Enter data here"))</f>
        <v>Use column to right</v>
      </c>
      <c r="Q9" s="35" t="str">
        <f t="shared" ref="Q9" si="1">IF(B9="", "", IF(D9="MWh/yr (LHV)", "Enter data here", "Use column to left"))</f>
        <v>Enter data here</v>
      </c>
      <c r="R9" s="35" t="s">
        <v>898</v>
      </c>
      <c r="S9" s="247" t="str">
        <f t="shared" ref="S9:S17" si="2">IFERROR(IF(D9="tonnes/yr", $P9*$E9/($L$20*3.6), $Q9*$E9*3.6/($L$20*3.6)), "Unfilled fields to left")</f>
        <v>Unfilled fields to left</v>
      </c>
      <c r="U9" s="25"/>
      <c r="V9" s="12"/>
    </row>
    <row r="10" spans="1:26">
      <c r="B10" s="190" t="s">
        <v>592</v>
      </c>
      <c r="C10" s="188" t="s">
        <v>669</v>
      </c>
      <c r="D10" s="183" t="s">
        <v>747</v>
      </c>
      <c r="E10" s="35"/>
      <c r="F10" s="24"/>
      <c r="G10" s="21"/>
      <c r="H10" s="20"/>
      <c r="I10" s="36"/>
      <c r="J10" s="307"/>
      <c r="K10" s="309"/>
      <c r="L10" s="247">
        <f t="shared" si="0"/>
        <v>0</v>
      </c>
      <c r="M10" s="12"/>
      <c r="P10" s="35" t="str">
        <f>IF(B10="", "", IF(D10="MWh/yr (LHV)", "Use column to right", "Enter data here"))</f>
        <v>Use column to right</v>
      </c>
      <c r="Q10" s="35" t="e">
        <f>INDEX(Assumptions!$F$5:$AJ$5,1,MATCH(Initial_questions!$E$24,Assumptions!$F$4:$AJ$4,0))*1000/Conversion_kWh_to_MJ</f>
        <v>#N/A</v>
      </c>
      <c r="R10" s="35" t="s">
        <v>896</v>
      </c>
      <c r="S10" s="247" t="str">
        <f t="shared" si="2"/>
        <v>Unfilled fields to left</v>
      </c>
      <c r="U10" s="25"/>
      <c r="V10" s="12"/>
    </row>
    <row r="11" spans="1:26">
      <c r="B11" s="190" t="s">
        <v>592</v>
      </c>
      <c r="C11" s="188" t="s">
        <v>670</v>
      </c>
      <c r="D11" s="183" t="s">
        <v>747</v>
      </c>
      <c r="E11" s="35"/>
      <c r="F11" s="24"/>
      <c r="G11" s="21"/>
      <c r="H11" s="20"/>
      <c r="I11" s="36"/>
      <c r="J11" s="307"/>
      <c r="K11" s="309"/>
      <c r="L11" s="247">
        <f t="shared" si="0"/>
        <v>0</v>
      </c>
      <c r="M11" s="12"/>
      <c r="P11" s="35" t="str">
        <f t="shared" ref="P11:P12" si="3">IF(B11="", "", IF(D11="MWh/yr (LHV)", "Use column to right", "Enter data here"))</f>
        <v>Use column to right</v>
      </c>
      <c r="Q11" s="35" t="e">
        <f>INDEX(Assumptions!$F$5:$AJ$5,1,MATCH(Initial_questions!$E$24,Assumptions!$F$4:$AJ$4,0))*1000/Conversion_kWh_to_MJ</f>
        <v>#N/A</v>
      </c>
      <c r="R11" s="35" t="s">
        <v>896</v>
      </c>
      <c r="S11" s="247" t="str">
        <f t="shared" si="2"/>
        <v>Unfilled fields to left</v>
      </c>
      <c r="U11" s="25"/>
      <c r="V11" s="12"/>
    </row>
    <row r="12" spans="1:26">
      <c r="B12" s="190" t="s">
        <v>592</v>
      </c>
      <c r="C12" s="188" t="s">
        <v>807</v>
      </c>
      <c r="D12" s="183" t="s">
        <v>747</v>
      </c>
      <c r="E12" s="35"/>
      <c r="F12" s="24"/>
      <c r="G12" s="21"/>
      <c r="H12" s="20"/>
      <c r="I12" s="36"/>
      <c r="J12" s="307"/>
      <c r="K12" s="309"/>
      <c r="L12" s="247">
        <f t="shared" si="0"/>
        <v>0</v>
      </c>
      <c r="M12" s="12"/>
      <c r="P12" s="35" t="str">
        <f t="shared" si="3"/>
        <v>Use column to right</v>
      </c>
      <c r="Q12" s="35" t="e">
        <f>INDEX(Assumptions!$F$5:$AJ$5,1,MATCH(Initial_questions!$E$24,Assumptions!$F$4:$AJ$4,0))*1000/Conversion_kWh_to_MJ</f>
        <v>#N/A</v>
      </c>
      <c r="R12" s="35" t="s">
        <v>896</v>
      </c>
      <c r="S12" s="247" t="str">
        <f t="shared" si="2"/>
        <v>Unfilled fields to left</v>
      </c>
      <c r="T12" s="110"/>
      <c r="U12" s="25"/>
      <c r="V12" s="12"/>
    </row>
    <row r="13" spans="1:26">
      <c r="B13" s="190" t="s">
        <v>599</v>
      </c>
      <c r="C13" s="188" t="s">
        <v>600</v>
      </c>
      <c r="D13" s="183" t="s">
        <v>582</v>
      </c>
      <c r="E13" s="35"/>
      <c r="F13" s="21"/>
      <c r="G13" s="21"/>
      <c r="H13" s="20"/>
      <c r="I13" s="36"/>
      <c r="J13" s="307"/>
      <c r="K13" s="309"/>
      <c r="L13" s="247">
        <f t="shared" si="0"/>
        <v>0</v>
      </c>
      <c r="M13" s="12"/>
      <c r="P13" s="35" t="str">
        <f>IF(B13="", "", IF(D13="MWh/yr (LHV)", "Use column to right", "Enter data here"))</f>
        <v>Enter data here</v>
      </c>
      <c r="Q13" s="35" t="str">
        <f t="shared" ref="Q13" si="4">IF(B13="", "", IF(D13="MWh/yr (LHV)", "Enter data here", "Use column to left"))</f>
        <v>Use column to left</v>
      </c>
      <c r="R13" s="35" t="s">
        <v>898</v>
      </c>
      <c r="S13" s="247" t="str">
        <f t="shared" si="2"/>
        <v>Unfilled fields to left</v>
      </c>
      <c r="U13" s="25"/>
      <c r="V13" s="12"/>
    </row>
    <row r="14" spans="1:26">
      <c r="B14" s="190" t="s">
        <v>599</v>
      </c>
      <c r="C14" s="188" t="s">
        <v>585</v>
      </c>
      <c r="D14" s="183" t="s">
        <v>582</v>
      </c>
      <c r="E14" s="35"/>
      <c r="F14" s="21"/>
      <c r="G14" s="21"/>
      <c r="H14" s="20"/>
      <c r="I14" s="36"/>
      <c r="J14" s="307"/>
      <c r="K14" s="309"/>
      <c r="L14" s="247">
        <f t="shared" si="0"/>
        <v>0</v>
      </c>
      <c r="M14" s="12"/>
      <c r="P14" s="35" t="str">
        <f t="shared" ref="P14:P16" si="5">IF(B14="", "", IF(D14="MWh/yr (LHV)", "Use column to right", "Enter data here"))</f>
        <v>Enter data here</v>
      </c>
      <c r="Q14" s="35" t="str">
        <f t="shared" ref="Q14:Q16" si="6">IF(B14="", "", IF(D14="MWh/yr (LHV)", "Enter data here", "Use column to left"))</f>
        <v>Use column to left</v>
      </c>
      <c r="R14" s="35" t="s">
        <v>898</v>
      </c>
      <c r="S14" s="247" t="str">
        <f t="shared" si="2"/>
        <v>Unfilled fields to left</v>
      </c>
      <c r="U14" s="25"/>
      <c r="V14" s="12"/>
    </row>
    <row r="15" spans="1:26">
      <c r="B15" s="190" t="s">
        <v>605</v>
      </c>
      <c r="C15" s="188" t="s">
        <v>635</v>
      </c>
      <c r="D15" s="183" t="s">
        <v>582</v>
      </c>
      <c r="E15" s="35"/>
      <c r="F15" s="21"/>
      <c r="G15" s="21"/>
      <c r="H15" s="20"/>
      <c r="I15" s="36"/>
      <c r="J15" s="307"/>
      <c r="K15" s="309"/>
      <c r="L15" s="247">
        <f t="shared" si="0"/>
        <v>0</v>
      </c>
      <c r="M15" s="12"/>
      <c r="P15" s="35" t="str">
        <f t="shared" si="5"/>
        <v>Enter data here</v>
      </c>
      <c r="Q15" s="35" t="str">
        <f t="shared" si="6"/>
        <v>Use column to left</v>
      </c>
      <c r="R15" s="35" t="s">
        <v>898</v>
      </c>
      <c r="S15" s="247" t="str">
        <f t="shared" si="2"/>
        <v>Unfilled fields to left</v>
      </c>
      <c r="U15" s="25"/>
      <c r="V15" s="12"/>
    </row>
    <row r="16" spans="1:26">
      <c r="B16" s="190" t="s">
        <v>636</v>
      </c>
      <c r="C16" s="188" t="s">
        <v>609</v>
      </c>
      <c r="D16" s="183" t="s">
        <v>582</v>
      </c>
      <c r="E16" s="35"/>
      <c r="F16" s="21"/>
      <c r="G16" s="21"/>
      <c r="H16" s="20"/>
      <c r="I16" s="36"/>
      <c r="J16" s="307"/>
      <c r="K16" s="309"/>
      <c r="L16" s="247">
        <f t="shared" si="0"/>
        <v>0</v>
      </c>
      <c r="M16" s="12"/>
      <c r="P16" s="35" t="str">
        <f t="shared" si="5"/>
        <v>Enter data here</v>
      </c>
      <c r="Q16" s="35" t="str">
        <f t="shared" si="6"/>
        <v>Use column to left</v>
      </c>
      <c r="R16" s="35" t="s">
        <v>898</v>
      </c>
      <c r="S16" s="247" t="str">
        <f t="shared" si="2"/>
        <v>Unfilled fields to left</v>
      </c>
      <c r="U16" s="25"/>
      <c r="V16" s="12"/>
    </row>
    <row r="17" spans="2:26">
      <c r="B17" s="16"/>
      <c r="C17" s="15"/>
      <c r="D17" s="183"/>
      <c r="E17" s="35"/>
      <c r="F17" s="21"/>
      <c r="G17" s="21"/>
      <c r="H17" s="20"/>
      <c r="I17" s="36"/>
      <c r="J17" s="307"/>
      <c r="K17" s="309"/>
      <c r="L17" s="247">
        <f t="shared" si="0"/>
        <v>0</v>
      </c>
      <c r="M17" s="12"/>
      <c r="P17" s="309"/>
      <c r="Q17" s="307"/>
      <c r="R17" s="309"/>
      <c r="S17" s="247" t="str">
        <f t="shared" si="2"/>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671</v>
      </c>
      <c r="D20" s="183" t="s">
        <v>582</v>
      </c>
      <c r="E20" s="35"/>
      <c r="F20" s="21"/>
      <c r="G20" s="21"/>
      <c r="H20" s="21"/>
      <c r="I20" s="21"/>
      <c r="J20" s="307"/>
      <c r="K20" s="313"/>
      <c r="L20" s="247">
        <f t="shared" ref="L20:L34" si="7">IF($D20="MWh/yr (LHV)",$E20,$J20*$E20/Conversion_kWh_to_MJ)</f>
        <v>0</v>
      </c>
      <c r="N20" s="251" t="str">
        <f>IFERROR(L20/L8,"")</f>
        <v/>
      </c>
      <c r="O20" s="250" t="str">
        <f>IFERROR(L20/(SUM($L$20:$L$22)),"")</f>
        <v/>
      </c>
      <c r="P20" s="42"/>
      <c r="Q20" s="42"/>
      <c r="R20" s="42"/>
      <c r="S20" s="42"/>
      <c r="U20" s="21"/>
      <c r="V20" s="12"/>
    </row>
    <row r="21" spans="2:26" s="14" customFormat="1">
      <c r="B21" s="190" t="s">
        <v>583</v>
      </c>
      <c r="C21" s="188" t="s">
        <v>672</v>
      </c>
      <c r="D21" s="183" t="s">
        <v>582</v>
      </c>
      <c r="E21" s="35"/>
      <c r="F21" s="21"/>
      <c r="G21" s="21"/>
      <c r="H21" s="20"/>
      <c r="I21" s="33"/>
      <c r="J21" s="307"/>
      <c r="K21" s="309"/>
      <c r="L21" s="247">
        <f t="shared" si="7"/>
        <v>0</v>
      </c>
      <c r="M21" s="12"/>
      <c r="N21" s="12"/>
      <c r="O21" s="250" t="str">
        <f t="shared" ref="O21:O22" si="8">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7"/>
        <v>0</v>
      </c>
      <c r="M22" s="12"/>
      <c r="N22" s="12"/>
      <c r="O22" s="250" t="str">
        <f t="shared" si="8"/>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7"/>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7"/>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7"/>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7"/>
        <v>0</v>
      </c>
      <c r="M26" s="12"/>
      <c r="N26" s="12"/>
      <c r="O26" s="12"/>
      <c r="P26" s="110"/>
      <c r="Q26" s="110"/>
      <c r="R26" s="110"/>
      <c r="S26" s="12"/>
      <c r="U26" s="21"/>
    </row>
    <row r="27" spans="2:26" s="14" customFormat="1">
      <c r="B27" s="190" t="s">
        <v>611</v>
      </c>
      <c r="C27" s="188" t="s">
        <v>852</v>
      </c>
      <c r="D27" s="183" t="s">
        <v>582</v>
      </c>
      <c r="E27" s="35"/>
      <c r="F27" s="34"/>
      <c r="G27" s="21"/>
      <c r="H27" s="20"/>
      <c r="I27" s="36"/>
      <c r="J27" s="307"/>
      <c r="K27" s="309"/>
      <c r="L27" s="247">
        <f t="shared" si="7"/>
        <v>0</v>
      </c>
      <c r="M27" s="12"/>
      <c r="N27" s="12"/>
      <c r="O27" s="12"/>
      <c r="P27" s="556">
        <v>0</v>
      </c>
      <c r="Q27" s="505"/>
      <c r="R27" s="558" t="s">
        <v>801</v>
      </c>
      <c r="S27" s="247" t="str">
        <f t="shared" ref="S27:S34" si="9">IFERROR(IF(D27="tonnes/yr", $P27*$E27/($L$20*3.6), $Q27*$E27*3.6/($L$20*3.6)), "Unfilled fields to left")</f>
        <v>Unfilled fields to left</v>
      </c>
      <c r="U27" s="21"/>
    </row>
    <row r="28" spans="2:26" s="14" customFormat="1">
      <c r="B28" s="190" t="s">
        <v>611</v>
      </c>
      <c r="C28" s="188" t="s">
        <v>853</v>
      </c>
      <c r="D28" s="183" t="s">
        <v>582</v>
      </c>
      <c r="E28" s="35"/>
      <c r="F28" s="34"/>
      <c r="G28" s="21"/>
      <c r="H28" s="20"/>
      <c r="I28" s="36"/>
      <c r="J28" s="307"/>
      <c r="K28" s="309"/>
      <c r="L28" s="247">
        <f t="shared" si="7"/>
        <v>0</v>
      </c>
      <c r="M28" s="12"/>
      <c r="N28" s="12"/>
      <c r="O28" s="12"/>
      <c r="P28" s="556">
        <v>1000</v>
      </c>
      <c r="Q28" s="505"/>
      <c r="R28" s="558" t="s">
        <v>821</v>
      </c>
      <c r="S28" s="247" t="str">
        <f t="shared" si="9"/>
        <v>Unfilled fields to left</v>
      </c>
      <c r="U28" s="21"/>
    </row>
    <row r="29" spans="2:26" s="14" customFormat="1">
      <c r="B29" s="190" t="s">
        <v>811</v>
      </c>
      <c r="C29" s="188" t="s">
        <v>833</v>
      </c>
      <c r="D29" s="183" t="s">
        <v>582</v>
      </c>
      <c r="E29" s="35"/>
      <c r="F29" s="34"/>
      <c r="G29" s="21"/>
      <c r="H29" s="20"/>
      <c r="I29" s="36"/>
      <c r="J29" s="307"/>
      <c r="K29" s="309"/>
      <c r="L29" s="247">
        <f t="shared" si="7"/>
        <v>0</v>
      </c>
      <c r="M29" s="12"/>
      <c r="N29" s="12"/>
      <c r="O29" s="12"/>
      <c r="P29" s="556">
        <v>-1000</v>
      </c>
      <c r="Q29" s="505"/>
      <c r="R29" s="558" t="s">
        <v>802</v>
      </c>
      <c r="S29" s="247" t="str">
        <f t="shared" si="9"/>
        <v>Unfilled fields to left</v>
      </c>
      <c r="U29" s="21"/>
    </row>
    <row r="30" spans="2:26" s="14" customFormat="1">
      <c r="B30" s="190" t="s">
        <v>811</v>
      </c>
      <c r="C30" s="188" t="s">
        <v>832</v>
      </c>
      <c r="D30" s="183" t="s">
        <v>582</v>
      </c>
      <c r="E30" s="35"/>
      <c r="F30" s="34"/>
      <c r="G30" s="21"/>
      <c r="H30" s="20"/>
      <c r="I30" s="36"/>
      <c r="J30" s="307"/>
      <c r="K30" s="309"/>
      <c r="L30" s="247">
        <f t="shared" si="7"/>
        <v>0</v>
      </c>
      <c r="M30" s="12"/>
      <c r="N30" s="12"/>
      <c r="O30" s="12"/>
      <c r="P30" s="556">
        <v>-1000</v>
      </c>
      <c r="Q30" s="505"/>
      <c r="R30" s="558" t="s">
        <v>827</v>
      </c>
      <c r="S30" s="247" t="str">
        <f t="shared" si="9"/>
        <v>Unfilled fields to left</v>
      </c>
      <c r="U30" s="21"/>
    </row>
    <row r="31" spans="2:26" s="14" customFormat="1">
      <c r="B31" s="190" t="s">
        <v>640</v>
      </c>
      <c r="C31" s="188" t="s">
        <v>823</v>
      </c>
      <c r="D31" s="183" t="s">
        <v>582</v>
      </c>
      <c r="E31" s="35"/>
      <c r="F31" s="34"/>
      <c r="G31" s="21"/>
      <c r="H31" s="20"/>
      <c r="I31" s="36"/>
      <c r="J31" s="307"/>
      <c r="K31" s="309"/>
      <c r="L31" s="247">
        <f t="shared" si="7"/>
        <v>0</v>
      </c>
      <c r="M31" s="12"/>
      <c r="N31" s="12"/>
      <c r="O31" s="12"/>
      <c r="P31" s="556">
        <f>28*1000</f>
        <v>28000</v>
      </c>
      <c r="Q31" s="505"/>
      <c r="R31" s="558" t="s">
        <v>651</v>
      </c>
      <c r="S31" s="247" t="str">
        <f t="shared" si="9"/>
        <v>Unfilled fields to left</v>
      </c>
      <c r="U31" s="21"/>
    </row>
    <row r="32" spans="2:26" s="14" customFormat="1">
      <c r="B32" s="190" t="s">
        <v>640</v>
      </c>
      <c r="C32" s="188" t="s">
        <v>824</v>
      </c>
      <c r="D32" s="183" t="s">
        <v>582</v>
      </c>
      <c r="E32" s="35"/>
      <c r="F32" s="24"/>
      <c r="G32" s="21"/>
      <c r="H32" s="20"/>
      <c r="I32" s="36"/>
      <c r="J32" s="307"/>
      <c r="K32" s="309"/>
      <c r="L32" s="247">
        <f t="shared" si="7"/>
        <v>0</v>
      </c>
      <c r="M32" s="12"/>
      <c r="N32" s="12"/>
      <c r="O32" s="12"/>
      <c r="P32" s="556">
        <v>265000</v>
      </c>
      <c r="Q32" s="505"/>
      <c r="R32" s="558" t="s">
        <v>651</v>
      </c>
      <c r="S32" s="247" t="str">
        <f t="shared" si="9"/>
        <v>Unfilled fields to left</v>
      </c>
      <c r="U32" s="21"/>
    </row>
    <row r="33" spans="2:22" s="14" customFormat="1">
      <c r="B33" s="16"/>
      <c r="C33" s="15"/>
      <c r="D33" s="183"/>
      <c r="E33" s="35"/>
      <c r="F33" s="21"/>
      <c r="G33" s="21"/>
      <c r="H33" s="20"/>
      <c r="I33" s="36"/>
      <c r="J33" s="307"/>
      <c r="K33" s="309"/>
      <c r="L33" s="247">
        <f t="shared" si="7"/>
        <v>0</v>
      </c>
      <c r="M33" s="12"/>
      <c r="N33" s="12"/>
      <c r="O33" s="12"/>
      <c r="P33" s="556"/>
      <c r="Q33" s="505"/>
      <c r="R33" s="559"/>
      <c r="S33" s="247" t="str">
        <f t="shared" si="9"/>
        <v>Unfilled fields to left</v>
      </c>
      <c r="U33" s="21"/>
    </row>
    <row r="34" spans="2:22" s="14" customFormat="1">
      <c r="B34" s="16"/>
      <c r="C34" s="15"/>
      <c r="D34" s="183"/>
      <c r="E34" s="35"/>
      <c r="F34" s="21"/>
      <c r="G34" s="21"/>
      <c r="H34" s="20"/>
      <c r="I34" s="36"/>
      <c r="J34" s="307"/>
      <c r="K34" s="309"/>
      <c r="L34" s="247">
        <f t="shared" si="7"/>
        <v>0</v>
      </c>
      <c r="M34" s="12"/>
      <c r="N34" s="12"/>
      <c r="O34" s="12"/>
      <c r="P34" s="556"/>
      <c r="Q34" s="505"/>
      <c r="R34" s="559"/>
      <c r="S34" s="247" t="str">
        <f t="shared" si="9"/>
        <v>Unfilled fields to left</v>
      </c>
      <c r="U34" s="21"/>
    </row>
    <row r="35" spans="2:22">
      <c r="C35" s="17"/>
      <c r="D35" s="17"/>
      <c r="E35" s="144"/>
      <c r="F35" s="17"/>
      <c r="H35" s="18"/>
      <c r="I35" s="18"/>
      <c r="J35" s="40"/>
      <c r="K35" s="40"/>
      <c r="L35" s="40"/>
      <c r="M35" s="12"/>
      <c r="P35" s="40"/>
      <c r="Q35" s="562"/>
      <c r="R35" s="40"/>
      <c r="S35" s="40"/>
      <c r="V35" s="12"/>
    </row>
    <row r="36" spans="2:22">
      <c r="D36" s="17"/>
      <c r="E36" s="144"/>
      <c r="J36" s="39"/>
      <c r="K36" s="39"/>
      <c r="M36" s="12"/>
      <c r="P36" s="39"/>
      <c r="Q36" s="564"/>
      <c r="R36" s="38" t="s">
        <v>641</v>
      </c>
      <c r="S36" s="157">
        <f>SUM(S7:S35)</f>
        <v>0</v>
      </c>
      <c r="T36" s="94"/>
      <c r="V36" s="12"/>
    </row>
    <row r="37" spans="2:22">
      <c r="B37" s="149" t="s">
        <v>94</v>
      </c>
      <c r="C37" s="163"/>
      <c r="D37" s="163"/>
      <c r="E37" s="527"/>
      <c r="G37" s="58"/>
      <c r="I37" s="12"/>
      <c r="J37" s="110"/>
      <c r="K37" s="110"/>
      <c r="L37" s="110"/>
      <c r="M37" s="12"/>
      <c r="P37" s="110"/>
      <c r="Q37" s="110"/>
      <c r="R37" s="110"/>
      <c r="V37" s="12"/>
    </row>
    <row r="38" spans="2:22">
      <c r="B38" s="16" t="s">
        <v>626</v>
      </c>
      <c r="C38" s="15" t="s">
        <v>627</v>
      </c>
      <c r="D38" s="15" t="s">
        <v>628</v>
      </c>
      <c r="E38" s="529"/>
      <c r="G38" s="19"/>
      <c r="H38" s="12"/>
      <c r="I38" s="12"/>
      <c r="J38" s="110"/>
      <c r="K38" s="110"/>
      <c r="L38" s="110"/>
      <c r="M38" s="12"/>
      <c r="P38" s="110"/>
      <c r="Q38" s="110"/>
      <c r="R38" s="110"/>
      <c r="S38" s="12"/>
      <c r="U38" s="25"/>
      <c r="V38" s="12"/>
    </row>
    <row r="39" spans="2:22">
      <c r="B39" s="16" t="s">
        <v>642</v>
      </c>
      <c r="C39" s="15" t="s">
        <v>652</v>
      </c>
      <c r="D39" s="15" t="s">
        <v>497</v>
      </c>
      <c r="E39" s="539"/>
      <c r="H39" s="12"/>
      <c r="I39" s="12"/>
      <c r="J39" s="110"/>
      <c r="K39" s="110"/>
      <c r="L39" s="110"/>
      <c r="M39" s="12"/>
      <c r="P39" s="110"/>
      <c r="Q39" s="110"/>
      <c r="R39" s="110"/>
      <c r="S39" s="12"/>
      <c r="U39" s="25"/>
      <c r="V39" s="12"/>
    </row>
    <row r="40" spans="2:22">
      <c r="B40" s="16" t="s">
        <v>654</v>
      </c>
      <c r="C40" s="15" t="s">
        <v>655</v>
      </c>
      <c r="D40" s="15" t="s">
        <v>497</v>
      </c>
      <c r="E40" s="539"/>
      <c r="J40" s="39"/>
      <c r="K40" s="39"/>
      <c r="P40" s="39"/>
      <c r="Q40" s="39"/>
      <c r="R40" s="39"/>
      <c r="U40" s="25"/>
    </row>
    <row r="41" spans="2:22">
      <c r="B41" s="190" t="s">
        <v>673</v>
      </c>
      <c r="C41" s="188" t="s">
        <v>674</v>
      </c>
      <c r="D41" s="188" t="s">
        <v>760</v>
      </c>
      <c r="E41" s="484"/>
      <c r="J41" s="39"/>
      <c r="K41" s="39"/>
      <c r="P41" s="39"/>
      <c r="Q41" s="39"/>
      <c r="R41" s="39"/>
      <c r="U41" s="25"/>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20:D34 D8:D17" xr:uid="{EAB2736E-0FFF-43B7-BFD3-5175771F3CAF}">
      <formula1>Flow_units</formula1>
    </dataValidation>
    <dataValidation type="custom" allowBlank="1" showInputMessage="1" showErrorMessage="1" error="Please do not change this formula" prompt="Please do not change this formula" sqref="T4 M4 L1:L1048576 S6:S1048576 S1:S4 N1:O4 N6:O1048576 N5:S5" xr:uid="{E3AF2C93-49C3-4401-AE90-0D7C50FE3A92}">
      <formula1>"Please do not change this formula"</formula1>
    </dataValidation>
  </dataValidations>
  <hyperlinks>
    <hyperlink ref="I2:J2" location="'Biomethane Transport'!A1" display="Go to the next step of this pathway" xr:uid="{9A67F42C-C9B6-4E43-B933-BE1CDA8C7C6C}"/>
    <hyperlink ref="I2:K2" location="Biomethane_Transport!A1" display="Go to the next step of this pathway" xr:uid="{ED75F8FB-ABC6-4315-A520-692BD06A7FFC}"/>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1" id="{1BB6BC62-0B6B-4D70-B1BB-261DB6E580BB}">
            <xm:f>AND(Initial_questions!$E$21&lt;&gt;"Biomethane Steam Methane Reformer (SMR) with CCS",Initial_questions!$E$21&lt;&gt;"Biomethane Steam Methane Reformer (SMR) without CCS", Initial_questions!$E$21&lt;&gt;"Biomethane Autothermal Reformer (ATR) with CCS",Initial_questions!$E$21&lt;&gt;"Biomethane Autothermal Reformer (ATR)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50" id="{DF2A32DD-750E-4BC1-BBB4-364FB3948C89}">
            <xm:f>AND(GHG_BIOMETHANE_REFORM!$D$5="Default",Master_Switch="On")</xm:f>
            <x14:dxf>
              <font>
                <color theme="0"/>
              </font>
              <fill>
                <patternFill>
                  <bgColor theme="0"/>
                </patternFill>
              </fill>
              <border>
                <left/>
                <right/>
                <top/>
                <bottom/>
              </border>
            </x14:dxf>
          </x14:cfRule>
          <xm:sqref>A4:XFD100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8" tint="0.59999389629810485"/>
  </sheetPr>
  <dimension ref="B1:Z131"/>
  <sheetViews>
    <sheetView showGridLines="0" zoomScaleNormal="100" workbookViewId="0"/>
  </sheetViews>
  <sheetFormatPr defaultColWidth="7.109375" defaultRowHeight="14.4"/>
  <cols>
    <col min="1" max="1" width="8.5546875" customWidth="1"/>
    <col min="2" max="2" width="19.5546875" customWidth="1"/>
    <col min="3" max="3" width="8.88671875" customWidth="1"/>
    <col min="4" max="4" width="8.5546875" customWidth="1"/>
    <col min="9" max="15" width="7.109375" customWidth="1"/>
    <col min="17" max="17" width="6" customWidth="1"/>
    <col min="19" max="19" width="8.88671875" customWidth="1"/>
    <col min="23" max="23" width="17.5546875" customWidth="1"/>
    <col min="24" max="24" width="18.44140625" customWidth="1"/>
    <col min="25" max="25" width="22.88671875" customWidth="1"/>
  </cols>
  <sheetData>
    <row r="1" spans="2:22" ht="15" thickBot="1">
      <c r="B1" s="3" t="s">
        <v>73</v>
      </c>
      <c r="C1" s="3"/>
      <c r="D1" s="3"/>
      <c r="E1" s="474"/>
      <c r="F1" s="474"/>
      <c r="G1" s="474"/>
      <c r="H1" s="474"/>
      <c r="I1" s="474"/>
      <c r="J1" s="474"/>
      <c r="K1" s="474"/>
      <c r="L1" s="474"/>
      <c r="M1" s="474"/>
      <c r="N1" s="474"/>
      <c r="O1" s="474"/>
    </row>
    <row r="2" spans="2:22" ht="15.6" thickTop="1" thickBot="1">
      <c r="B2" s="181" t="s">
        <v>74</v>
      </c>
      <c r="C2" s="181"/>
      <c r="D2" s="181"/>
      <c r="E2" s="181"/>
      <c r="F2" s="181"/>
      <c r="G2" s="181"/>
    </row>
    <row r="3" spans="2:22">
      <c r="B3" s="30"/>
    </row>
    <row r="4" spans="2:22">
      <c r="B4" s="30" t="s">
        <v>75</v>
      </c>
    </row>
    <row r="5" spans="2:22">
      <c r="B5" s="137"/>
      <c r="C5" s="582" t="s">
        <v>76</v>
      </c>
      <c r="D5" s="583"/>
      <c r="E5" s="583"/>
      <c r="F5" s="583"/>
      <c r="G5" s="583"/>
      <c r="H5" s="584"/>
    </row>
    <row r="6" spans="2:22">
      <c r="B6" s="148"/>
      <c r="C6" s="585" t="s">
        <v>77</v>
      </c>
      <c r="D6" s="586"/>
      <c r="E6" s="586"/>
      <c r="F6" s="586"/>
      <c r="G6" s="586"/>
      <c r="H6" s="587"/>
    </row>
    <row r="7" spans="2:22">
      <c r="B7" s="138"/>
      <c r="C7" s="582" t="s">
        <v>78</v>
      </c>
      <c r="D7" s="583"/>
      <c r="E7" s="583"/>
      <c r="F7" s="583"/>
      <c r="G7" s="583"/>
      <c r="H7" s="584"/>
    </row>
    <row r="9" spans="2:22">
      <c r="B9" s="28"/>
    </row>
    <row r="10" spans="2:22" ht="15" thickBot="1">
      <c r="B10" s="180" t="s">
        <v>79</v>
      </c>
      <c r="C10" s="180"/>
    </row>
    <row r="11" spans="2:22" ht="15" thickTop="1"/>
    <row r="12" spans="2:22">
      <c r="B12" s="588" t="s">
        <v>80</v>
      </c>
      <c r="C12" s="588"/>
      <c r="D12" s="588"/>
      <c r="E12" s="588"/>
      <c r="F12" s="588"/>
      <c r="G12" s="588"/>
      <c r="H12" s="588"/>
      <c r="I12" s="588"/>
      <c r="J12" s="588"/>
      <c r="K12" s="588"/>
      <c r="L12" s="588"/>
      <c r="M12" s="588"/>
      <c r="N12" s="588"/>
      <c r="O12" s="588"/>
      <c r="P12" s="588"/>
      <c r="Q12" s="588"/>
      <c r="R12" s="588"/>
      <c r="S12" s="588"/>
      <c r="T12" s="588"/>
      <c r="U12" s="588"/>
      <c r="V12" s="588"/>
    </row>
    <row r="13" spans="2:22">
      <c r="B13" t="s">
        <v>81</v>
      </c>
      <c r="C13" s="4"/>
      <c r="D13" s="4"/>
    </row>
    <row r="14" spans="2:22">
      <c r="B14" s="134"/>
      <c r="C14" s="134"/>
      <c r="D14" s="134"/>
    </row>
    <row r="18" spans="2:25">
      <c r="C18" s="128"/>
    </row>
    <row r="19" spans="2:25">
      <c r="B19" s="28"/>
      <c r="C19" s="28"/>
      <c r="D19" s="28"/>
    </row>
    <row r="20" spans="2:25">
      <c r="C20" s="128"/>
    </row>
    <row r="22" spans="2:25">
      <c r="C22" s="128"/>
    </row>
    <row r="23" spans="2:25" ht="31.5" customHeight="1">
      <c r="B23" s="589" t="s">
        <v>82</v>
      </c>
      <c r="C23" s="589"/>
      <c r="D23" s="589"/>
      <c r="E23" s="589"/>
      <c r="F23" s="589"/>
      <c r="G23" s="589"/>
      <c r="H23" s="589"/>
      <c r="I23" s="589"/>
      <c r="J23" s="589"/>
      <c r="K23" s="589"/>
      <c r="L23" s="589"/>
      <c r="M23" s="589"/>
      <c r="N23" s="589"/>
      <c r="O23" s="589"/>
      <c r="P23" s="589"/>
      <c r="Q23" s="589"/>
      <c r="R23" s="589"/>
      <c r="S23" s="589"/>
      <c r="T23" s="589"/>
      <c r="U23" s="589"/>
      <c r="V23" s="589"/>
      <c r="W23" s="589"/>
      <c r="X23" s="589"/>
      <c r="Y23" s="589"/>
    </row>
    <row r="24" spans="2:25">
      <c r="B24" s="589" t="s">
        <v>83</v>
      </c>
      <c r="C24" s="589"/>
      <c r="D24" s="589"/>
      <c r="E24" s="589"/>
      <c r="F24" s="589"/>
      <c r="G24" s="589"/>
      <c r="H24" s="589"/>
      <c r="I24" s="589"/>
      <c r="J24" s="589"/>
      <c r="K24" s="589"/>
      <c r="L24" s="589"/>
      <c r="M24" s="589"/>
      <c r="N24" s="589"/>
      <c r="O24" s="589"/>
      <c r="P24" s="589"/>
      <c r="Q24" s="589"/>
      <c r="R24" s="589"/>
      <c r="S24" s="589"/>
      <c r="T24" s="589"/>
      <c r="U24" s="589"/>
      <c r="V24" s="589"/>
      <c r="W24" s="589"/>
      <c r="X24" s="589"/>
      <c r="Y24" s="589"/>
    </row>
    <row r="25" spans="2:25">
      <c r="C25" s="128"/>
    </row>
    <row r="26" spans="2:25">
      <c r="C26" s="128"/>
    </row>
    <row r="27" spans="2:25">
      <c r="C27" s="128"/>
    </row>
    <row r="28" spans="2:25">
      <c r="C28" s="128"/>
    </row>
    <row r="29" spans="2:25">
      <c r="C29" s="128"/>
    </row>
    <row r="30" spans="2:25">
      <c r="C30" s="128"/>
    </row>
    <row r="31" spans="2:25">
      <c r="C31" s="128"/>
    </row>
    <row r="32" spans="2:25">
      <c r="C32" s="128"/>
    </row>
    <row r="33" spans="2:26">
      <c r="C33" s="128"/>
    </row>
    <row r="34" spans="2:26">
      <c r="C34" s="128"/>
    </row>
    <row r="35" spans="2:26" ht="59.4" customHeight="1">
      <c r="C35" s="128"/>
    </row>
    <row r="36" spans="2:26">
      <c r="C36" s="128"/>
    </row>
    <row r="37" spans="2:26">
      <c r="C37" s="128"/>
    </row>
    <row r="38" spans="2:26">
      <c r="C38" s="128"/>
    </row>
    <row r="39" spans="2:26">
      <c r="C39" s="128"/>
    </row>
    <row r="40" spans="2:26">
      <c r="B40" t="s">
        <v>915</v>
      </c>
      <c r="C40" s="128"/>
    </row>
    <row r="41" spans="2:26">
      <c r="C41" s="128"/>
    </row>
    <row r="42" spans="2:26" ht="31.95" customHeight="1">
      <c r="B42" s="589" t="s">
        <v>784</v>
      </c>
      <c r="C42" s="589"/>
      <c r="D42" s="589"/>
      <c r="E42" s="589"/>
      <c r="F42" s="589"/>
      <c r="G42" s="589"/>
      <c r="H42" s="589"/>
      <c r="I42" s="589"/>
      <c r="J42" s="589"/>
      <c r="K42" s="589"/>
      <c r="L42" s="589"/>
      <c r="M42" s="589"/>
      <c r="N42" s="589"/>
      <c r="O42" s="589"/>
      <c r="P42" s="589"/>
      <c r="Q42" s="589"/>
      <c r="R42" s="589"/>
      <c r="S42" s="589"/>
      <c r="T42" s="589"/>
      <c r="U42" s="589"/>
      <c r="V42" s="589"/>
      <c r="W42" s="589"/>
      <c r="X42" s="589"/>
      <c r="Y42" s="589"/>
    </row>
    <row r="43" spans="2:26">
      <c r="C43" s="128"/>
    </row>
    <row r="44" spans="2:26">
      <c r="B44" s="588" t="s">
        <v>84</v>
      </c>
      <c r="C44" s="588"/>
      <c r="D44" s="588"/>
      <c r="E44" s="588"/>
      <c r="F44" s="588"/>
      <c r="G44" s="588"/>
      <c r="H44" s="588"/>
      <c r="I44" s="588"/>
      <c r="J44" s="588"/>
      <c r="K44" s="588"/>
      <c r="L44" s="588"/>
      <c r="M44" s="588"/>
      <c r="N44" s="588"/>
      <c r="O44" s="588"/>
      <c r="P44" s="588"/>
      <c r="Q44" s="588"/>
      <c r="R44" s="588"/>
      <c r="S44" s="588"/>
      <c r="T44" s="588"/>
      <c r="U44" s="588"/>
      <c r="V44" s="588"/>
      <c r="W44" s="588"/>
      <c r="X44" s="588"/>
      <c r="Y44" s="588"/>
      <c r="Z44" s="588"/>
    </row>
    <row r="62" spans="2:22">
      <c r="B62" s="590"/>
      <c r="C62" s="590"/>
      <c r="D62" s="590"/>
      <c r="E62" s="590"/>
      <c r="F62" s="590"/>
      <c r="G62" s="590"/>
      <c r="H62" s="590"/>
      <c r="I62" s="590"/>
      <c r="J62" s="590"/>
      <c r="K62" s="590"/>
      <c r="L62" s="590"/>
      <c r="M62" s="590"/>
      <c r="N62" s="590"/>
      <c r="O62" s="590"/>
      <c r="P62" s="590"/>
      <c r="Q62" s="590"/>
      <c r="R62" s="590"/>
      <c r="S62" s="590"/>
      <c r="T62" s="590"/>
      <c r="U62" s="590"/>
      <c r="V62" s="590"/>
    </row>
    <row r="72" spans="2:25">
      <c r="B72" s="591" t="s">
        <v>85</v>
      </c>
      <c r="C72" s="591"/>
      <c r="D72" s="591"/>
      <c r="E72" s="591"/>
      <c r="F72" s="591"/>
      <c r="G72" s="591"/>
      <c r="H72" s="591"/>
      <c r="I72" s="591"/>
      <c r="J72" s="591"/>
      <c r="K72" s="591"/>
      <c r="L72" s="591"/>
      <c r="M72" s="591"/>
      <c r="N72" s="591"/>
      <c r="O72" s="591"/>
      <c r="P72" s="591"/>
      <c r="Q72" s="591"/>
      <c r="R72" s="591"/>
      <c r="S72" s="591"/>
      <c r="T72" s="591"/>
      <c r="U72" s="591"/>
      <c r="V72" s="591"/>
      <c r="W72" s="591"/>
      <c r="X72" s="591"/>
      <c r="Y72" s="591"/>
    </row>
    <row r="81" spans="2:22">
      <c r="B81" s="588"/>
      <c r="C81" s="588"/>
      <c r="D81" s="588"/>
      <c r="E81" s="588"/>
      <c r="F81" s="588"/>
      <c r="G81" s="588"/>
      <c r="H81" s="588"/>
      <c r="I81" s="588"/>
      <c r="J81" s="588"/>
      <c r="K81" s="588"/>
      <c r="L81" s="588"/>
      <c r="M81" s="588"/>
      <c r="N81" s="588"/>
      <c r="O81" s="588"/>
      <c r="P81" s="588"/>
      <c r="Q81" s="588"/>
      <c r="R81" s="588"/>
      <c r="S81" s="588"/>
      <c r="T81" s="588"/>
      <c r="U81" s="588"/>
      <c r="V81" s="588"/>
    </row>
    <row r="96" spans="2:22">
      <c r="B96" s="28" t="s">
        <v>86</v>
      </c>
    </row>
    <row r="106" spans="2:25" ht="125.1" customHeight="1"/>
    <row r="107" spans="2:25" ht="15" customHeight="1"/>
    <row r="108" spans="2:25" ht="15" customHeight="1"/>
    <row r="109" spans="2:25" ht="15" customHeight="1"/>
    <row r="110" spans="2:25" ht="15" customHeight="1"/>
    <row r="111" spans="2:25" ht="15" customHeight="1"/>
    <row r="112" spans="2:25" ht="43.5" customHeight="1">
      <c r="B112" s="589" t="s">
        <v>715</v>
      </c>
      <c r="C112" s="589"/>
      <c r="D112" s="589"/>
      <c r="E112" s="589"/>
      <c r="F112" s="589"/>
      <c r="G112" s="589"/>
      <c r="H112" s="589"/>
      <c r="I112" s="589"/>
      <c r="J112" s="589"/>
      <c r="K112" s="589"/>
      <c r="L112" s="589"/>
      <c r="M112" s="589"/>
      <c r="N112" s="589"/>
      <c r="O112" s="589"/>
      <c r="P112" s="589"/>
      <c r="Q112" s="589"/>
      <c r="R112" s="589"/>
      <c r="S112" s="589"/>
      <c r="T112" s="589"/>
      <c r="U112" s="589"/>
      <c r="V112" s="589"/>
      <c r="W112" s="589"/>
      <c r="X112" s="589"/>
      <c r="Y112" s="589"/>
    </row>
    <row r="131" spans="2:22" ht="97.8" customHeight="1">
      <c r="B131" s="589" t="s">
        <v>923</v>
      </c>
      <c r="C131" s="589"/>
      <c r="D131" s="589"/>
      <c r="E131" s="589"/>
      <c r="F131" s="589"/>
      <c r="G131" s="589"/>
      <c r="H131" s="589"/>
      <c r="I131" s="589"/>
      <c r="J131" s="589"/>
      <c r="K131" s="589"/>
      <c r="L131" s="589"/>
      <c r="M131" s="589"/>
      <c r="N131" s="589"/>
      <c r="O131" s="589"/>
      <c r="P131" s="589"/>
      <c r="Q131" s="589"/>
      <c r="R131" s="589"/>
      <c r="S131" s="589"/>
      <c r="T131" s="589"/>
      <c r="U131" s="589"/>
      <c r="V131" s="589"/>
    </row>
  </sheetData>
  <customSheetViews>
    <customSheetView guid="{43B6AE9C-E429-4506-98F3-C388B54AB8B6}" showGridLines="0">
      <selection activeCell="D1" sqref="D1"/>
      <pageMargins left="0" right="0" top="0" bottom="0" header="0" footer="0"/>
      <pageSetup paperSize="9" orientation="portrait" r:id="rId1"/>
    </customSheetView>
    <customSheetView guid="{D41C0D8C-591E-4B34-99B3-B45BA51A58EC}" showGridLines="0">
      <selection activeCell="D1" sqref="D1"/>
      <pageMargins left="0" right="0" top="0" bottom="0" header="0" footer="0"/>
      <pageSetup paperSize="9" orientation="portrait" r:id="rId2"/>
    </customSheetView>
    <customSheetView guid="{8F590910-6C03-4233-9C41-6540BF2DE453}" showGridLines="0">
      <selection activeCell="D1" sqref="D1"/>
      <pageMargins left="0" right="0" top="0" bottom="0" header="0" footer="0"/>
      <pageSetup paperSize="9" orientation="portrait" r:id="rId3"/>
    </customSheetView>
    <customSheetView guid="{55CEC4CC-9BBF-4F2D-BA17-E94F4B26FAC5}" showGridLines="0">
      <selection activeCell="D1" sqref="D1"/>
      <pageMargins left="0" right="0" top="0" bottom="0" header="0" footer="0"/>
      <pageSetup paperSize="9" orientation="portrait" r:id="rId4"/>
    </customSheetView>
    <customSheetView guid="{7735C88E-3A13-4DCF-BB32-4D20A306A8BB}" showGridLines="0">
      <selection activeCell="D1" sqref="D1"/>
      <pageMargins left="0" right="0" top="0" bottom="0" header="0" footer="0"/>
      <pageSetup paperSize="9" orientation="portrait" r:id="rId5"/>
    </customSheetView>
    <customSheetView guid="{27B9E3C6-8189-41E0-896B-02A30393FDC0}" showGridLines="0">
      <selection activeCell="D1" sqref="D1"/>
      <pageMargins left="0" right="0" top="0" bottom="0" header="0" footer="0"/>
      <pageSetup paperSize="9" orientation="portrait" r:id="rId6"/>
    </customSheetView>
    <customSheetView guid="{ED9AC919-98EB-43A3-A158-23FD7D007D30}" showGridLines="0">
      <selection activeCell="D1" sqref="D1"/>
      <pageMargins left="0" right="0" top="0" bottom="0" header="0" footer="0"/>
      <pageSetup paperSize="9" orientation="portrait" r:id="rId7"/>
    </customSheetView>
  </customSheetViews>
  <mergeCells count="13">
    <mergeCell ref="B131:V131"/>
    <mergeCell ref="B81:V81"/>
    <mergeCell ref="B62:V62"/>
    <mergeCell ref="B112:Y112"/>
    <mergeCell ref="B23:Y23"/>
    <mergeCell ref="B72:Y72"/>
    <mergeCell ref="B44:Z44"/>
    <mergeCell ref="B42:Y42"/>
    <mergeCell ref="C5:H5"/>
    <mergeCell ref="C6:H6"/>
    <mergeCell ref="C7:H7"/>
    <mergeCell ref="B12:V12"/>
    <mergeCell ref="B24:Y24"/>
  </mergeCells>
  <pageMargins left="0" right="0" top="0" bottom="0" header="0" footer="0"/>
  <pageSetup paperSize="9" orientation="portrait" r:id="rId8"/>
  <drawing r:id="rId9"/>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8A802-B67B-4F23-BB59-A71F0B643FF3}">
  <sheetPr codeName="Sheet27">
    <tabColor rgb="FFFF9900"/>
  </sheetPr>
  <dimension ref="A1:Z188"/>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IF(AND(Initial_questions!$E$21&lt;&gt;"Biomethane Steam Methane Reformer (SMR) with CCS",Initial_questions!$E$21&lt;&gt;"Biomethane Steam Methane Reformer (SMR) without CCS", Initial_questions!$E$21&lt;&gt;"Biomethane Autothermal Reformer (ATR) with CCS",Initial_questions!$E$21&lt;&gt;"Biomethane Autothermal Reformer (ATR) without CCS",Master_Switch="On"),"User should not fill in this sheet, but switch to other non-blank GHG worksheets","")</f>
        <v>User should not fill in this sheet, but switch to other non-blank GHG worksheets</v>
      </c>
      <c r="E1" s="262"/>
    </row>
    <row r="2" spans="1:26" ht="20.399999999999999" customHeight="1">
      <c r="B2" s="83" t="str">
        <f>IF(AND(GHG_BIOMETHANE_REFORM!$D$5="Default",Master_Switch="On"),"Default data selected for this module, move to the next step of the pathway","")</f>
        <v/>
      </c>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671</v>
      </c>
      <c r="D8" s="183" t="s">
        <v>582</v>
      </c>
      <c r="E8" s="35"/>
      <c r="F8" s="21"/>
      <c r="G8" s="21"/>
      <c r="H8" s="20"/>
      <c r="I8" s="20"/>
      <c r="J8" s="307"/>
      <c r="K8" s="309"/>
      <c r="L8" s="247">
        <f t="shared" ref="L8:L17" si="0">IF($D8="MWh/yr (LHV)",$E8,$J8*$E8/Conversion_kWh_to_MJ)</f>
        <v>0</v>
      </c>
      <c r="M8" s="12"/>
      <c r="P8" s="110"/>
      <c r="Q8" s="110"/>
      <c r="R8" s="110"/>
      <c r="S8" s="12"/>
      <c r="U8" s="24"/>
      <c r="V8" s="12"/>
    </row>
    <row r="9" spans="1:26">
      <c r="B9" s="190" t="s">
        <v>592</v>
      </c>
      <c r="C9" s="188" t="s">
        <v>646</v>
      </c>
      <c r="D9" s="183" t="s">
        <v>747</v>
      </c>
      <c r="E9" s="35"/>
      <c r="F9" s="21"/>
      <c r="G9" s="21"/>
      <c r="H9" s="20"/>
      <c r="I9" s="36"/>
      <c r="J9" s="307"/>
      <c r="K9" s="309"/>
      <c r="L9" s="247">
        <f t="shared" si="0"/>
        <v>0</v>
      </c>
      <c r="M9" s="12"/>
      <c r="P9" s="35" t="str">
        <f t="shared" ref="P9" si="1">IF(B9="", "", IF(D9="MWh/yr (LHV)", "Use column to right", "Enter data here"))</f>
        <v>Use column to right</v>
      </c>
      <c r="Q9" s="35" t="e">
        <f>INDEX(Assumptions!$F$5:$AJ$5,1,MATCH(Initial_questions!$E$24,Assumptions!$F$4:$AJ$4,0))*1000/Conversion_kWh_to_MJ</f>
        <v>#N/A</v>
      </c>
      <c r="R9" s="35" t="s">
        <v>896</v>
      </c>
      <c r="S9" s="247" t="str">
        <f t="shared" ref="S9:S17" si="2">IFERROR(IF(D9="tonnes/yr", $P9*$E9/($L$20*3.6), $Q9*$E9*3.6/($L$20*3.6)), "Unfilled fields to left")</f>
        <v>Unfilled fields to left</v>
      </c>
      <c r="U9" s="25"/>
      <c r="V9" s="12"/>
    </row>
    <row r="10" spans="1:26">
      <c r="B10" s="190" t="s">
        <v>592</v>
      </c>
      <c r="C10" s="188"/>
      <c r="D10" s="183"/>
      <c r="E10" s="35"/>
      <c r="F10" s="21"/>
      <c r="G10" s="21"/>
      <c r="H10" s="20"/>
      <c r="I10" s="36"/>
      <c r="J10" s="307"/>
      <c r="K10" s="309"/>
      <c r="L10" s="247">
        <f t="shared" si="0"/>
        <v>0</v>
      </c>
      <c r="M10" s="12"/>
      <c r="P10" s="35" t="str">
        <f>IF(B10="", "", IF(D10="MWh/yr (LHV)", "Use column to right", "Enter data here"))</f>
        <v>Enter data here</v>
      </c>
      <c r="Q10" s="35" t="str">
        <f t="shared" ref="Q10" si="3">IF(B10="", "", IF(D10="MWh/yr (LHV)", "Enter data here", "Use column to left"))</f>
        <v>Use column to left</v>
      </c>
      <c r="R10" s="35" t="s">
        <v>898</v>
      </c>
      <c r="S10" s="247" t="str">
        <f t="shared" si="2"/>
        <v>Unfilled fields to left</v>
      </c>
      <c r="U10" s="25"/>
      <c r="V10" s="12"/>
    </row>
    <row r="11" spans="1:26">
      <c r="B11" s="190" t="s">
        <v>599</v>
      </c>
      <c r="C11" s="188" t="s">
        <v>600</v>
      </c>
      <c r="D11" s="183" t="s">
        <v>582</v>
      </c>
      <c r="E11" s="35"/>
      <c r="F11" s="21"/>
      <c r="G11" s="21"/>
      <c r="H11" s="20"/>
      <c r="I11" s="36"/>
      <c r="J11" s="307"/>
      <c r="K11" s="309"/>
      <c r="L11" s="247">
        <f t="shared" si="0"/>
        <v>0</v>
      </c>
      <c r="M11" s="12"/>
      <c r="P11" s="35" t="str">
        <f t="shared" ref="P11:P16" si="4">IF(B11="", "", IF(D11="MWh/yr (LHV)", "Use column to right", "Enter data here"))</f>
        <v>Enter data here</v>
      </c>
      <c r="Q11" s="35" t="str">
        <f t="shared" ref="Q11:Q16" si="5">IF(B11="", "", IF(D11="MWh/yr (LHV)", "Enter data here", "Use column to left"))</f>
        <v>Use column to left</v>
      </c>
      <c r="R11" s="35" t="s">
        <v>898</v>
      </c>
      <c r="S11" s="247" t="str">
        <f t="shared" si="2"/>
        <v>Unfilled fields to left</v>
      </c>
      <c r="U11" s="25"/>
      <c r="V11" s="12"/>
    </row>
    <row r="12" spans="1:26">
      <c r="B12" s="190" t="s">
        <v>599</v>
      </c>
      <c r="C12" s="188" t="s">
        <v>585</v>
      </c>
      <c r="D12" s="183"/>
      <c r="E12" s="35"/>
      <c r="F12" s="21"/>
      <c r="G12" s="21"/>
      <c r="H12" s="20"/>
      <c r="I12" s="36"/>
      <c r="J12" s="307"/>
      <c r="K12" s="309"/>
      <c r="L12" s="247">
        <f t="shared" si="0"/>
        <v>0</v>
      </c>
      <c r="M12" s="12"/>
      <c r="P12" s="35" t="str">
        <f t="shared" si="4"/>
        <v>Enter data here</v>
      </c>
      <c r="Q12" s="35" t="str">
        <f t="shared" si="5"/>
        <v>Use column to left</v>
      </c>
      <c r="R12" s="35" t="s">
        <v>898</v>
      </c>
      <c r="S12" s="247" t="str">
        <f t="shared" si="2"/>
        <v>Unfilled fields to left</v>
      </c>
      <c r="U12" s="25"/>
      <c r="V12" s="12"/>
    </row>
    <row r="13" spans="1:26">
      <c r="B13" s="190" t="s">
        <v>605</v>
      </c>
      <c r="C13" s="188" t="s">
        <v>635</v>
      </c>
      <c r="D13" s="183"/>
      <c r="E13" s="35"/>
      <c r="F13" s="21"/>
      <c r="G13" s="21"/>
      <c r="H13" s="20"/>
      <c r="I13" s="36"/>
      <c r="J13" s="307"/>
      <c r="K13" s="309"/>
      <c r="L13" s="247">
        <f t="shared" si="0"/>
        <v>0</v>
      </c>
      <c r="M13" s="12"/>
      <c r="P13" s="35" t="str">
        <f t="shared" si="4"/>
        <v>Enter data here</v>
      </c>
      <c r="Q13" s="35" t="str">
        <f t="shared" si="5"/>
        <v>Use column to left</v>
      </c>
      <c r="R13" s="35" t="s">
        <v>898</v>
      </c>
      <c r="S13" s="247" t="str">
        <f t="shared" si="2"/>
        <v>Unfilled fields to left</v>
      </c>
      <c r="U13" s="25"/>
      <c r="V13" s="12"/>
    </row>
    <row r="14" spans="1:26">
      <c r="B14" s="190" t="s">
        <v>605</v>
      </c>
      <c r="C14" s="188"/>
      <c r="D14" s="183"/>
      <c r="E14" s="35"/>
      <c r="F14" s="21"/>
      <c r="G14" s="21"/>
      <c r="H14" s="20"/>
      <c r="I14" s="36"/>
      <c r="J14" s="307"/>
      <c r="K14" s="309"/>
      <c r="L14" s="247">
        <f t="shared" si="0"/>
        <v>0</v>
      </c>
      <c r="M14" s="12"/>
      <c r="P14" s="35" t="str">
        <f t="shared" si="4"/>
        <v>Enter data here</v>
      </c>
      <c r="Q14" s="35" t="str">
        <f t="shared" si="5"/>
        <v>Use column to left</v>
      </c>
      <c r="R14" s="35" t="s">
        <v>898</v>
      </c>
      <c r="S14" s="247" t="str">
        <f t="shared" si="2"/>
        <v>Unfilled fields to left</v>
      </c>
      <c r="U14" s="25"/>
      <c r="V14" s="12"/>
    </row>
    <row r="15" spans="1:26">
      <c r="B15" s="190" t="s">
        <v>636</v>
      </c>
      <c r="C15" s="188" t="s">
        <v>609</v>
      </c>
      <c r="D15" s="183"/>
      <c r="E15" s="35"/>
      <c r="F15" s="21"/>
      <c r="G15" s="21"/>
      <c r="H15" s="20"/>
      <c r="I15" s="36"/>
      <c r="J15" s="307"/>
      <c r="K15" s="309"/>
      <c r="L15" s="247">
        <f t="shared" si="0"/>
        <v>0</v>
      </c>
      <c r="M15" s="12"/>
      <c r="P15" s="35" t="str">
        <f t="shared" si="4"/>
        <v>Enter data here</v>
      </c>
      <c r="Q15" s="35" t="str">
        <f t="shared" si="5"/>
        <v>Use column to left</v>
      </c>
      <c r="R15" s="35" t="s">
        <v>898</v>
      </c>
      <c r="S15" s="247" t="str">
        <f t="shared" si="2"/>
        <v>Unfilled fields to left</v>
      </c>
      <c r="U15" s="25"/>
      <c r="V15" s="12"/>
    </row>
    <row r="16" spans="1:26">
      <c r="B16" s="190" t="s">
        <v>636</v>
      </c>
      <c r="C16" s="15"/>
      <c r="D16" s="183"/>
      <c r="E16" s="35"/>
      <c r="F16" s="21"/>
      <c r="G16" s="21"/>
      <c r="H16" s="20"/>
      <c r="I16" s="36"/>
      <c r="J16" s="307"/>
      <c r="K16" s="309"/>
      <c r="L16" s="247">
        <f t="shared" si="0"/>
        <v>0</v>
      </c>
      <c r="M16" s="12"/>
      <c r="P16" s="35" t="str">
        <f t="shared" si="4"/>
        <v>Enter data here</v>
      </c>
      <c r="Q16" s="35" t="str">
        <f t="shared" si="5"/>
        <v>Use column to left</v>
      </c>
      <c r="R16" s="35" t="s">
        <v>898</v>
      </c>
      <c r="S16" s="247" t="str">
        <f t="shared" si="2"/>
        <v>Unfilled fields to left</v>
      </c>
      <c r="U16" s="25"/>
      <c r="V16" s="12"/>
    </row>
    <row r="17" spans="2:26">
      <c r="B17" s="16"/>
      <c r="C17" s="15"/>
      <c r="D17" s="183"/>
      <c r="E17" s="35"/>
      <c r="F17" s="21"/>
      <c r="G17" s="21"/>
      <c r="H17" s="20"/>
      <c r="I17" s="36"/>
      <c r="J17" s="307"/>
      <c r="K17" s="309"/>
      <c r="L17" s="247">
        <f t="shared" si="0"/>
        <v>0</v>
      </c>
      <c r="M17" s="12"/>
      <c r="P17" s="309"/>
      <c r="Q17" s="307"/>
      <c r="R17" s="309"/>
      <c r="S17" s="247" t="str">
        <f t="shared" si="2"/>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671</v>
      </c>
      <c r="D20" s="183" t="s">
        <v>582</v>
      </c>
      <c r="E20" s="35"/>
      <c r="F20" s="21"/>
      <c r="G20" s="21"/>
      <c r="H20" s="21"/>
      <c r="I20" s="21"/>
      <c r="J20" s="307"/>
      <c r="K20" s="313"/>
      <c r="L20" s="247">
        <f t="shared" ref="L20:L31" si="6">IF($D20="MWh/yr (LHV)",$E20,$J20*$E20/Conversion_kWh_to_MJ)</f>
        <v>0</v>
      </c>
      <c r="N20" s="251" t="str">
        <f>IFERROR(L20/L8,"")</f>
        <v/>
      </c>
      <c r="O20" s="250" t="str">
        <f>IFERROR(L20/(SUM($L$20:$L$22)),"")</f>
        <v/>
      </c>
      <c r="P20" s="42"/>
      <c r="Q20" s="42"/>
      <c r="R20" s="42"/>
      <c r="S20" s="42"/>
      <c r="U20" s="21"/>
      <c r="V20" s="12"/>
    </row>
    <row r="21" spans="2:26" s="14" customFormat="1">
      <c r="B21" s="190" t="s">
        <v>583</v>
      </c>
      <c r="C21" s="188" t="s">
        <v>804</v>
      </c>
      <c r="D21" s="183" t="s">
        <v>582</v>
      </c>
      <c r="E21" s="35"/>
      <c r="F21" s="21"/>
      <c r="G21" s="21"/>
      <c r="H21" s="20"/>
      <c r="I21" s="33"/>
      <c r="J21" s="307"/>
      <c r="K21" s="309"/>
      <c r="L21" s="247">
        <f t="shared" si="6"/>
        <v>0</v>
      </c>
      <c r="M21" s="12"/>
      <c r="N21" s="12"/>
      <c r="O21" s="250" t="str">
        <f t="shared" ref="O21:O22" si="7">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6"/>
        <v>0</v>
      </c>
      <c r="M22" s="12"/>
      <c r="N22" s="12"/>
      <c r="O22" s="250" t="str">
        <f t="shared" si="7"/>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6"/>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6"/>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6"/>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6"/>
        <v>0</v>
      </c>
      <c r="M26" s="12"/>
      <c r="N26" s="12"/>
      <c r="O26" s="12"/>
      <c r="P26" s="110"/>
      <c r="Q26" s="110"/>
      <c r="R26" s="110"/>
      <c r="S26" s="12"/>
      <c r="U26" s="21"/>
    </row>
    <row r="27" spans="2:26" s="14" customFormat="1">
      <c r="B27" s="190" t="s">
        <v>611</v>
      </c>
      <c r="C27" s="188" t="s">
        <v>820</v>
      </c>
      <c r="D27" s="183" t="s">
        <v>582</v>
      </c>
      <c r="E27" s="35"/>
      <c r="F27" s="34"/>
      <c r="G27" s="21"/>
      <c r="H27" s="20"/>
      <c r="I27" s="36"/>
      <c r="J27" s="307"/>
      <c r="K27" s="309"/>
      <c r="L27" s="247">
        <f t="shared" si="6"/>
        <v>0</v>
      </c>
      <c r="M27" s="12"/>
      <c r="N27" s="12"/>
      <c r="O27" s="12"/>
      <c r="P27" s="35">
        <v>1000</v>
      </c>
      <c r="Q27" s="546"/>
      <c r="R27" s="35" t="s">
        <v>821</v>
      </c>
      <c r="S27" s="247"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6"/>
        <v>0</v>
      </c>
      <c r="M28" s="12"/>
      <c r="N28" s="12"/>
      <c r="O28" s="12"/>
      <c r="P28" s="35">
        <v>28000</v>
      </c>
      <c r="Q28" s="546"/>
      <c r="R28" s="35" t="s">
        <v>651</v>
      </c>
      <c r="S28" s="247" t="str">
        <f>IFERROR(IF(D28="tonnes/yr", $P28*$E28/($L$20*3.6), $Q28*$E28*3.6/($L$20*3.6)), "Unfilled fields to left")</f>
        <v>Unfilled fields to left</v>
      </c>
      <c r="U28" s="21"/>
    </row>
    <row r="29" spans="2:26" s="14" customFormat="1">
      <c r="B29" s="190" t="s">
        <v>640</v>
      </c>
      <c r="C29" s="188" t="s">
        <v>824</v>
      </c>
      <c r="D29" s="183" t="s">
        <v>582</v>
      </c>
      <c r="E29" s="35"/>
      <c r="F29" s="21"/>
      <c r="G29" s="21"/>
      <c r="H29" s="20"/>
      <c r="I29" s="36"/>
      <c r="J29" s="307"/>
      <c r="K29" s="309"/>
      <c r="L29" s="247">
        <f t="shared" si="6"/>
        <v>0</v>
      </c>
      <c r="M29" s="12"/>
      <c r="N29" s="12"/>
      <c r="O29" s="12"/>
      <c r="P29" s="35">
        <v>265000</v>
      </c>
      <c r="Q29" s="546"/>
      <c r="R29" s="35" t="s">
        <v>651</v>
      </c>
      <c r="S29" s="247"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6"/>
        <v>0</v>
      </c>
      <c r="M30" s="12"/>
      <c r="N30" s="12"/>
      <c r="O30" s="12"/>
      <c r="P30" s="307"/>
      <c r="Q30" s="505"/>
      <c r="R30" s="309"/>
      <c r="S30" s="247" t="str">
        <f>IFERROR(IF(D30="tonnes/yr", $P30*$E30/($L$20*3.6), $Q30*$E30*3.6/($L$20*3.6)), "Unfilled fields to left")</f>
        <v>Unfilled fields to left</v>
      </c>
      <c r="U30" s="21"/>
    </row>
    <row r="31" spans="2:26" s="14" customFormat="1">
      <c r="B31" s="16"/>
      <c r="C31" s="15"/>
      <c r="D31" s="183"/>
      <c r="E31" s="35"/>
      <c r="F31" s="21"/>
      <c r="G31" s="21"/>
      <c r="H31" s="20"/>
      <c r="I31" s="36"/>
      <c r="J31" s="307"/>
      <c r="K31" s="309"/>
      <c r="L31" s="247">
        <f t="shared" si="6"/>
        <v>0</v>
      </c>
      <c r="M31" s="12"/>
      <c r="N31" s="12"/>
      <c r="O31" s="12"/>
      <c r="P31" s="307"/>
      <c r="Q31" s="505"/>
      <c r="R31" s="309"/>
      <c r="S31" s="247"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40"/>
      <c r="V32" s="12"/>
    </row>
    <row r="33" spans="2:22">
      <c r="D33" s="17"/>
      <c r="E33" s="144"/>
      <c r="J33" s="39"/>
      <c r="K33" s="39"/>
      <c r="M33" s="12"/>
      <c r="P33" s="39"/>
      <c r="Q33" s="39"/>
      <c r="R33" s="38" t="s">
        <v>641</v>
      </c>
      <c r="S33" s="157">
        <f>SUM(S7:S32)</f>
        <v>0</v>
      </c>
      <c r="V33" s="12"/>
    </row>
    <row r="34" spans="2:22">
      <c r="B34" s="149" t="s">
        <v>94</v>
      </c>
      <c r="C34" s="163"/>
      <c r="D34" s="163"/>
      <c r="E34" s="527"/>
      <c r="I34" s="12"/>
      <c r="J34" s="110"/>
      <c r="K34" s="110"/>
      <c r="L34" s="110"/>
      <c r="M34" s="12"/>
      <c r="P34" s="110"/>
      <c r="Q34" s="110"/>
      <c r="R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t="s">
        <v>709</v>
      </c>
      <c r="C36" s="15" t="s">
        <v>710</v>
      </c>
      <c r="D36" s="15" t="s">
        <v>222</v>
      </c>
      <c r="E36" s="529"/>
      <c r="H36" s="12"/>
      <c r="I36" s="12"/>
      <c r="J36" s="110"/>
      <c r="K36" s="110"/>
      <c r="L36" s="110"/>
      <c r="M36" s="12"/>
      <c r="P36" s="110"/>
      <c r="Q36" s="110"/>
      <c r="R36" s="110"/>
      <c r="S36" s="12"/>
      <c r="U36" s="25"/>
      <c r="V36" s="12"/>
    </row>
    <row r="37" spans="2:22">
      <c r="B37" s="16"/>
      <c r="C37" s="15"/>
      <c r="D37" s="15"/>
      <c r="E37" s="535"/>
      <c r="J37" s="39"/>
      <c r="K37" s="39"/>
      <c r="P37" s="39"/>
      <c r="Q37" s="39"/>
      <c r="R37" s="39"/>
      <c r="U37" s="25"/>
    </row>
    <row r="38" spans="2:22">
      <c r="B38" s="16"/>
      <c r="C38" s="15"/>
      <c r="D38" s="15"/>
      <c r="E38" s="535"/>
      <c r="J38" s="39"/>
      <c r="K38" s="39"/>
      <c r="P38" s="39"/>
      <c r="Q38" s="39"/>
      <c r="R38" s="39"/>
      <c r="U38" s="25"/>
    </row>
    <row r="39" spans="2:22">
      <c r="E39" s="110"/>
      <c r="J39" s="39"/>
      <c r="K39" s="39"/>
      <c r="P39" s="39"/>
      <c r="Q39" s="39"/>
      <c r="R39" s="39"/>
    </row>
    <row r="40" spans="2:22">
      <c r="E40" s="110"/>
      <c r="J40" s="39"/>
      <c r="K40" s="39"/>
      <c r="P40" s="39"/>
      <c r="Q40" s="39"/>
      <c r="R40" s="39"/>
    </row>
    <row r="41" spans="2:22">
      <c r="E41" s="110"/>
      <c r="J41" s="39"/>
      <c r="K41" s="39"/>
      <c r="P41" s="39"/>
      <c r="Q41" s="39"/>
      <c r="R41" s="39"/>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1" xr:uid="{CE8A0FE5-9B1B-46E9-B8AD-CF36050511A8}">
      <formula1>Flow_units</formula1>
    </dataValidation>
    <dataValidation type="custom" allowBlank="1" showInputMessage="1" showErrorMessage="1" error="Please do not change this formula" prompt="Please do not change this formula" sqref="L1:L1048576 S6:S1048576 T4 M4 S1:S4 N1:O4 N6:O1048576 N5:S5" xr:uid="{5819550A-0046-4BCF-88E5-DE181BBA36A6}">
      <formula1>"Please do not change this formula"</formula1>
    </dataValidation>
  </dataValidations>
  <hyperlinks>
    <hyperlink ref="I2:J2" location="'Biomethane Reforming (+CCS)'!A1" display="Go to the next step of this pathway" xr:uid="{A0620B2F-7F01-4DFD-95B3-0C0DFEDF8572}"/>
    <hyperlink ref="I2:K2" location="Biomethane_Reforming_CCS!A1" display="Go to the next step of this pathway" xr:uid="{807E3503-D43F-48B6-9E56-DA178E12DB08}"/>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1" id="{4C11180B-3DA0-434D-96DB-4EAB268AC49E}">
            <xm:f>AND(Initial_questions!$E$21&lt;&gt;"Biomethane Steam Methane Reformer (SMR) with CCS",Initial_questions!$E$21&lt;&gt;"Biomethane Steam Methane Reformer (SMR) without CCS", Initial_questions!$E$21&lt;&gt;"Biomethane Autothermal Reformer (ATR) with CCS",Initial_questions!$E$21&lt;&gt;"Biomethane Autothermal Reformer (ATR)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53" id="{72B85323-D4DD-45F5-83FA-67DAFFA1547B}">
            <xm:f>AND(GHG_BIOMETHANE_REFORM!$D$5="Default",Master_Switch="On")</xm:f>
            <x14:dxf>
              <font>
                <color theme="0"/>
              </font>
              <fill>
                <patternFill>
                  <bgColor theme="0"/>
                </patternFill>
              </fill>
              <border>
                <left/>
                <right/>
                <top/>
                <bottom/>
              </border>
            </x14:dxf>
          </x14:cfRule>
          <xm:sqref>A4:XFD100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EBB67-621B-4515-98DA-AC9D696B8AAF}">
  <sheetPr codeName="Sheet28">
    <tabColor rgb="FFFF9900"/>
  </sheetPr>
  <dimension ref="A1:Z246"/>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480"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ol min="21" max="21" width="26" style="12" customWidth="1"/>
    <col min="23" max="16384" width="7.109375" style="12"/>
  </cols>
  <sheetData>
    <row r="1" spans="1:25" ht="31.8" customHeight="1">
      <c r="A1" s="83" t="str">
        <f>IF(AND(Initial_questions!$E$21&lt;&gt;"Biomethane Steam Methane Reformer (SMR) with CCS",Initial_questions!$E$21&lt;&gt;"Biomethane Steam Methane Reformer (SMR) without CCS", Initial_questions!$E$21&lt;&gt;"Biomethane Autothermal Reformer (ATR) with CCS",Initial_questions!$E$21&lt;&gt;"Biomethane Autothermal Reformer (ATR) without CCS",Master_Switch="On"),"User should not fill in this sheet, but switch to other non-blank GHG worksheets","")</f>
        <v>User should not fill in this sheet, but switch to other non-blank GHG worksheets</v>
      </c>
      <c r="E1" s="262"/>
    </row>
    <row r="2" spans="1:25" ht="20.399999999999999" customHeight="1">
      <c r="E2" s="262"/>
      <c r="I2" s="669" t="s">
        <v>754</v>
      </c>
      <c r="J2" s="671"/>
      <c r="K2" s="672"/>
    </row>
    <row r="3" spans="1:25" ht="15" customHeight="1">
      <c r="E3" s="262"/>
    </row>
    <row r="4" spans="1:25" ht="15.6" customHeight="1" thickBot="1">
      <c r="B4" s="3"/>
      <c r="C4" s="3"/>
      <c r="D4" s="3"/>
      <c r="E4" s="478"/>
      <c r="F4" s="3"/>
      <c r="G4" s="3"/>
      <c r="H4" s="1"/>
      <c r="I4" s="1"/>
      <c r="J4" s="1"/>
      <c r="K4" s="1"/>
      <c r="L4" s="37"/>
      <c r="M4" s="1"/>
      <c r="N4" s="1"/>
      <c r="O4" s="3"/>
      <c r="P4" s="1"/>
      <c r="Q4" s="1"/>
      <c r="R4" s="1"/>
      <c r="S4" s="37"/>
      <c r="T4" s="37"/>
      <c r="U4" s="37"/>
    </row>
    <row r="5" spans="1:25"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5" ht="15" thickTop="1">
      <c r="E6" s="262"/>
    </row>
    <row r="7" spans="1:25">
      <c r="B7" s="149" t="s">
        <v>578</v>
      </c>
      <c r="C7" s="149"/>
      <c r="D7" s="149"/>
      <c r="E7" s="332"/>
      <c r="F7" s="149"/>
      <c r="G7" s="149"/>
      <c r="H7" s="149"/>
      <c r="I7" s="149"/>
      <c r="J7" s="149"/>
      <c r="K7" s="149"/>
      <c r="L7" s="308"/>
      <c r="P7" s="18"/>
      <c r="Q7" s="18"/>
      <c r="R7" s="18"/>
      <c r="S7" s="40"/>
      <c r="V7" s="12"/>
    </row>
    <row r="8" spans="1:25">
      <c r="B8" s="16" t="s">
        <v>579</v>
      </c>
      <c r="C8" s="188" t="s">
        <v>671</v>
      </c>
      <c r="D8" s="183" t="s">
        <v>582</v>
      </c>
      <c r="E8" s="35"/>
      <c r="F8" s="24"/>
      <c r="G8" s="21"/>
      <c r="H8" s="21"/>
      <c r="I8" s="21"/>
      <c r="J8" s="35"/>
      <c r="K8" s="313"/>
      <c r="L8" s="247">
        <f t="shared" ref="L8:L17" si="0">IF($D8="MWh/yr (LHV)",$E8,$J8*$E8/Conversion_kWh_to_MJ)</f>
        <v>0</v>
      </c>
      <c r="M8" s="12"/>
      <c r="P8" s="40"/>
      <c r="Q8" s="40"/>
      <c r="R8" s="40"/>
      <c r="S8" s="40"/>
      <c r="U8" s="21"/>
      <c r="V8" s="12"/>
    </row>
    <row r="9" spans="1:25">
      <c r="B9" s="16" t="s">
        <v>581</v>
      </c>
      <c r="C9" s="15" t="s">
        <v>645</v>
      </c>
      <c r="D9" s="15" t="s">
        <v>582</v>
      </c>
      <c r="E9" s="35">
        <f>Hydrogen_flow</f>
        <v>0</v>
      </c>
      <c r="F9" s="21"/>
      <c r="G9" s="21"/>
      <c r="H9" s="21"/>
      <c r="I9" s="21"/>
      <c r="J9" s="35">
        <v>120</v>
      </c>
      <c r="K9" s="313"/>
      <c r="L9" s="247">
        <f t="shared" si="0"/>
        <v>0</v>
      </c>
      <c r="M9" s="12"/>
      <c r="N9" s="91" t="str">
        <f>IFERROR(L9/L8,"")</f>
        <v/>
      </c>
      <c r="O9" s="43" t="str">
        <f>IFERROR(L9/(SUM($L$9:$L$18)),"")</f>
        <v/>
      </c>
      <c r="P9" s="42"/>
      <c r="Q9" s="42"/>
      <c r="R9" s="42"/>
      <c r="S9" s="12"/>
      <c r="U9" s="21"/>
      <c r="V9" s="12"/>
    </row>
    <row r="10" spans="1:25">
      <c r="B10" s="190" t="s">
        <v>583</v>
      </c>
      <c r="C10" s="188" t="s">
        <v>584</v>
      </c>
      <c r="D10" s="183" t="s">
        <v>747</v>
      </c>
      <c r="E10" s="35"/>
      <c r="F10" s="21"/>
      <c r="G10" s="21"/>
      <c r="H10" s="20"/>
      <c r="I10" s="33"/>
      <c r="J10" s="307"/>
      <c r="K10" s="309"/>
      <c r="L10" s="247">
        <f t="shared" si="0"/>
        <v>0</v>
      </c>
      <c r="M10" s="12"/>
      <c r="O10" s="43" t="str">
        <f>IFERROR(L10/(SUM($L$9:$L$18)),"")</f>
        <v/>
      </c>
      <c r="P10" s="42"/>
      <c r="Q10" s="42"/>
      <c r="R10" s="42"/>
      <c r="S10" s="19"/>
      <c r="T10" s="23"/>
      <c r="U10" s="21"/>
      <c r="V10" s="12"/>
    </row>
    <row r="11" spans="1:25">
      <c r="B11" s="190" t="s">
        <v>583</v>
      </c>
      <c r="C11" s="188" t="s">
        <v>646</v>
      </c>
      <c r="D11" s="183" t="s">
        <v>747</v>
      </c>
      <c r="E11" s="35"/>
      <c r="F11" s="21"/>
      <c r="G11" s="21"/>
      <c r="H11" s="20"/>
      <c r="I11" s="20"/>
      <c r="J11" s="309"/>
      <c r="K11" s="309"/>
      <c r="L11" s="247">
        <f t="shared" si="0"/>
        <v>0</v>
      </c>
      <c r="M11" s="12"/>
      <c r="O11" s="43" t="str">
        <f>IFERROR(L11/(SUM($L$9:$L$18)),"")</f>
        <v/>
      </c>
      <c r="P11" s="42"/>
      <c r="Q11" s="42"/>
      <c r="R11" s="42"/>
      <c r="S11" s="14"/>
      <c r="T11" s="23"/>
      <c r="U11" s="21"/>
      <c r="V11" s="12"/>
    </row>
    <row r="12" spans="1:25">
      <c r="B12" s="190" t="s">
        <v>583</v>
      </c>
      <c r="C12" s="188" t="s">
        <v>805</v>
      </c>
      <c r="D12" s="183" t="s">
        <v>582</v>
      </c>
      <c r="E12" s="35"/>
      <c r="F12" s="21"/>
      <c r="G12" s="21"/>
      <c r="H12" s="20"/>
      <c r="I12" s="20"/>
      <c r="J12" s="309"/>
      <c r="K12" s="309"/>
      <c r="L12" s="247">
        <f t="shared" si="0"/>
        <v>0</v>
      </c>
      <c r="M12" s="12"/>
      <c r="O12" s="43" t="str">
        <f>IFERROR(L12/(SUM($L$9:$L$18)),"")</f>
        <v/>
      </c>
      <c r="P12" s="40"/>
      <c r="Q12" s="40"/>
      <c r="R12" s="40"/>
      <c r="S12" s="40"/>
      <c r="U12" s="21"/>
      <c r="V12" s="12"/>
    </row>
    <row r="13" spans="1:25">
      <c r="B13" s="190" t="s">
        <v>583</v>
      </c>
      <c r="C13" s="188" t="s">
        <v>806</v>
      </c>
      <c r="D13" s="183" t="s">
        <v>582</v>
      </c>
      <c r="E13" s="35"/>
      <c r="F13" s="21"/>
      <c r="G13" s="21"/>
      <c r="H13" s="20"/>
      <c r="I13" s="20"/>
      <c r="J13" s="309"/>
      <c r="K13" s="309"/>
      <c r="L13" s="247">
        <f t="shared" si="0"/>
        <v>0</v>
      </c>
      <c r="M13" s="12"/>
      <c r="O13" s="43" t="str">
        <f>IFERROR(L13/(SUM($L$9:$L$18)),"")</f>
        <v/>
      </c>
      <c r="P13" s="40"/>
      <c r="Q13" s="40"/>
      <c r="R13" s="40"/>
      <c r="S13" s="40"/>
      <c r="U13" s="21"/>
      <c r="V13" s="12"/>
    </row>
    <row r="14" spans="1:25" s="14" customFormat="1">
      <c r="B14" s="190" t="s">
        <v>586</v>
      </c>
      <c r="C14" s="188" t="s">
        <v>587</v>
      </c>
      <c r="D14" s="183" t="s">
        <v>582</v>
      </c>
      <c r="E14" s="35"/>
      <c r="F14" s="21"/>
      <c r="G14" s="21"/>
      <c r="H14" s="20"/>
      <c r="I14" s="20"/>
      <c r="J14" s="309"/>
      <c r="K14" s="309"/>
      <c r="L14" s="247">
        <f t="shared" si="0"/>
        <v>0</v>
      </c>
      <c r="M14" s="12"/>
      <c r="N14" s="12"/>
      <c r="O14" s="12"/>
      <c r="P14" s="110"/>
      <c r="Q14" s="110"/>
      <c r="R14" s="110"/>
      <c r="S14" s="12"/>
      <c r="T14" s="23"/>
      <c r="U14" s="21"/>
      <c r="V14" s="23"/>
      <c r="W14" s="42"/>
      <c r="Y14" s="12"/>
    </row>
    <row r="15" spans="1:25" s="14" customFormat="1">
      <c r="B15" s="190" t="s">
        <v>586</v>
      </c>
      <c r="C15" s="188" t="s">
        <v>588</v>
      </c>
      <c r="D15" s="183" t="s">
        <v>582</v>
      </c>
      <c r="E15" s="35"/>
      <c r="F15" s="21"/>
      <c r="G15" s="21"/>
      <c r="H15" s="20"/>
      <c r="I15" s="20"/>
      <c r="J15" s="309"/>
      <c r="K15" s="309"/>
      <c r="L15" s="247">
        <f t="shared" si="0"/>
        <v>0</v>
      </c>
      <c r="M15" s="12"/>
      <c r="N15" s="12"/>
      <c r="O15" s="12"/>
      <c r="P15" s="110"/>
      <c r="Q15" s="110"/>
      <c r="R15" s="110"/>
      <c r="S15" s="12"/>
      <c r="T15" s="23"/>
      <c r="U15" s="21"/>
      <c r="V15" s="23"/>
      <c r="W15" s="42"/>
      <c r="Y15" s="12"/>
    </row>
    <row r="16" spans="1:25" s="14" customFormat="1">
      <c r="B16" s="190" t="s">
        <v>589</v>
      </c>
      <c r="C16" s="188" t="s">
        <v>590</v>
      </c>
      <c r="D16" s="183" t="s">
        <v>582</v>
      </c>
      <c r="E16" s="35"/>
      <c r="F16" s="21"/>
      <c r="G16" s="21"/>
      <c r="H16" s="20"/>
      <c r="I16" s="36"/>
      <c r="J16" s="307"/>
      <c r="K16" s="309"/>
      <c r="L16" s="247">
        <f t="shared" si="0"/>
        <v>0</v>
      </c>
      <c r="M16" s="12"/>
      <c r="N16" s="12"/>
      <c r="O16" s="12"/>
      <c r="P16" s="110"/>
      <c r="Q16" s="110"/>
      <c r="R16" s="110"/>
      <c r="S16" s="12"/>
      <c r="U16" s="21"/>
    </row>
    <row r="17" spans="1:26" s="14" customFormat="1">
      <c r="B17" s="190" t="s">
        <v>589</v>
      </c>
      <c r="C17" s="188" t="s">
        <v>591</v>
      </c>
      <c r="D17" s="183" t="s">
        <v>582</v>
      </c>
      <c r="E17" s="35"/>
      <c r="F17" s="21"/>
      <c r="G17" s="21"/>
      <c r="H17" s="20"/>
      <c r="I17" s="36"/>
      <c r="J17" s="307"/>
      <c r="K17" s="309"/>
      <c r="L17" s="247">
        <f t="shared" si="0"/>
        <v>0</v>
      </c>
      <c r="M17" s="12"/>
      <c r="N17" s="12"/>
      <c r="O17" s="12"/>
      <c r="P17" s="110"/>
      <c r="Q17" s="110"/>
      <c r="R17" s="110"/>
      <c r="S17" s="12"/>
      <c r="U17" s="21"/>
    </row>
    <row r="18" spans="1:26">
      <c r="B18" s="71"/>
      <c r="C18" s="72"/>
      <c r="D18" s="81"/>
      <c r="E18" s="78"/>
      <c r="F18" s="79"/>
      <c r="G18" s="82"/>
      <c r="H18" s="74"/>
      <c r="I18" s="74"/>
      <c r="J18" s="78"/>
      <c r="K18" s="76"/>
      <c r="L18" s="76"/>
      <c r="M18" s="12"/>
      <c r="P18" s="40"/>
      <c r="Q18" s="40"/>
      <c r="R18" s="40"/>
      <c r="S18" s="40"/>
      <c r="U18" s="79"/>
      <c r="V18" s="12"/>
    </row>
    <row r="19" spans="1:26" ht="31.2">
      <c r="B19" s="83" t="str">
        <f>IF(AND(GHG_BIOMETHANE_REFORM!D9="Default",Master_Switch="On"),"Default data selected for the category below, move to the next category of the module","")</f>
        <v/>
      </c>
      <c r="C19" s="72"/>
      <c r="D19" s="81"/>
      <c r="E19" s="78"/>
      <c r="F19" s="79"/>
      <c r="G19" s="82"/>
      <c r="H19" s="74"/>
      <c r="I19" s="74"/>
      <c r="J19" s="78"/>
      <c r="K19" s="76"/>
      <c r="L19" s="76"/>
      <c r="M19" s="12"/>
      <c r="P19" s="40"/>
      <c r="Q19" s="40"/>
      <c r="R19" s="40"/>
      <c r="S19" s="40"/>
      <c r="U19" s="79"/>
      <c r="V19" s="12"/>
    </row>
    <row r="20" spans="1:26">
      <c r="B20" s="149" t="s">
        <v>890</v>
      </c>
      <c r="C20" s="149"/>
      <c r="D20" s="149"/>
      <c r="E20" s="308"/>
      <c r="F20" s="149"/>
      <c r="G20" s="149"/>
      <c r="H20" s="154"/>
      <c r="I20" s="154"/>
      <c r="J20" s="151"/>
      <c r="K20" s="520"/>
      <c r="L20" s="519"/>
      <c r="M20" s="155"/>
      <c r="N20" s="156"/>
      <c r="O20" s="156"/>
      <c r="P20" s="508"/>
      <c r="Q20" s="508"/>
      <c r="R20" s="508"/>
      <c r="S20" s="157">
        <f>SUM(S21:S27)</f>
        <v>0</v>
      </c>
      <c r="V20" s="12"/>
    </row>
    <row r="21" spans="1:26">
      <c r="B21" s="190" t="s">
        <v>592</v>
      </c>
      <c r="C21" s="188" t="s">
        <v>675</v>
      </c>
      <c r="D21" s="183" t="s">
        <v>747</v>
      </c>
      <c r="E21" s="35"/>
      <c r="F21" s="24"/>
      <c r="G21" s="21"/>
      <c r="H21" s="21"/>
      <c r="I21" s="21"/>
      <c r="J21" s="310"/>
      <c r="K21" s="313"/>
      <c r="L21" s="247">
        <f t="shared" ref="L21:L30" si="1">IF($D21="MWh/yr (LHV)",$E21,$J21*$E21/Conversion_kWh_to_MJ)</f>
        <v>0</v>
      </c>
      <c r="M21" s="12"/>
      <c r="P21" s="307" t="str">
        <f>IF(B21="", "", IF(D21="MWh/yr (LHV)", "Use column to right", "Enter data here"))</f>
        <v>Use column to right</v>
      </c>
      <c r="Q21" s="307" t="e">
        <f>Initial_questions!$E$41*1000/Conversion_kWh_to_MJ</f>
        <v>#VALUE!</v>
      </c>
      <c r="R21" s="35" t="s">
        <v>799</v>
      </c>
      <c r="S21" s="70" t="str">
        <f t="shared" ref="S21:S30" si="2">IFERROR(IF(D21="tonnes/yr", $P21*$E21/($L$9*3.6), $Q21*$E21*3.6/($L$9*3.6)), "Unfilled fields to left")</f>
        <v>Unfilled fields to left</v>
      </c>
      <c r="U21" s="21"/>
      <c r="V21" s="12"/>
    </row>
    <row r="22" spans="1:26">
      <c r="B22" s="190" t="s">
        <v>592</v>
      </c>
      <c r="C22" s="188" t="s">
        <v>676</v>
      </c>
      <c r="D22" s="183" t="s">
        <v>747</v>
      </c>
      <c r="E22" s="35"/>
      <c r="F22" s="24"/>
      <c r="G22" s="21"/>
      <c r="H22" s="20"/>
      <c r="I22" s="36"/>
      <c r="J22" s="307"/>
      <c r="K22" s="309"/>
      <c r="L22" s="247">
        <f t="shared" si="1"/>
        <v>0</v>
      </c>
      <c r="M22" s="12"/>
      <c r="P22" s="307" t="str">
        <f t="shared" ref="P22:P30" si="3">IF(B22="", "", IF(D22="MWh/yr (LHV)", "Use column to right", "Enter data here"))</f>
        <v>Use column to right</v>
      </c>
      <c r="Q22" s="307" t="e">
        <f>Initial_questions!$E$41*1000/Conversion_kWh_to_MJ</f>
        <v>#VALUE!</v>
      </c>
      <c r="R22" s="35" t="s">
        <v>799</v>
      </c>
      <c r="S22" s="70" t="str">
        <f t="shared" si="2"/>
        <v>Unfilled fields to left</v>
      </c>
      <c r="U22" s="25"/>
      <c r="V22" s="12"/>
    </row>
    <row r="23" spans="1:26">
      <c r="B23" s="190" t="s">
        <v>592</v>
      </c>
      <c r="C23" s="188" t="s">
        <v>649</v>
      </c>
      <c r="D23" s="183" t="s">
        <v>747</v>
      </c>
      <c r="E23" s="35"/>
      <c r="F23" s="24"/>
      <c r="G23" s="21"/>
      <c r="H23" s="20"/>
      <c r="I23" s="36"/>
      <c r="J23" s="307"/>
      <c r="K23" s="309"/>
      <c r="L23" s="247">
        <f t="shared" si="1"/>
        <v>0</v>
      </c>
      <c r="M23" s="58"/>
      <c r="P23" s="307" t="str">
        <f t="shared" si="3"/>
        <v>Use column to right</v>
      </c>
      <c r="Q23" s="307" t="e">
        <f>Initial_questions!$E$41*1000/Conversion_kWh_to_MJ</f>
        <v>#VALUE!</v>
      </c>
      <c r="R23" s="35" t="s">
        <v>799</v>
      </c>
      <c r="S23" s="70" t="str">
        <f t="shared" si="2"/>
        <v>Unfilled fields to left</v>
      </c>
      <c r="U23" s="25"/>
      <c r="V23" s="12"/>
    </row>
    <row r="24" spans="1:26" s="14" customFormat="1">
      <c r="B24" s="190" t="s">
        <v>592</v>
      </c>
      <c r="C24" s="188" t="s">
        <v>597</v>
      </c>
      <c r="D24" s="183" t="s">
        <v>747</v>
      </c>
      <c r="E24" s="35"/>
      <c r="F24" s="24"/>
      <c r="G24" s="21"/>
      <c r="H24" s="66"/>
      <c r="I24" s="66"/>
      <c r="J24" s="311"/>
      <c r="K24" s="313"/>
      <c r="L24" s="247">
        <f t="shared" si="1"/>
        <v>0</v>
      </c>
      <c r="M24" s="19"/>
      <c r="N24" s="19"/>
      <c r="O24" s="19"/>
      <c r="P24" s="307" t="str">
        <f t="shared" si="3"/>
        <v>Use column to right</v>
      </c>
      <c r="Q24" s="307" t="str">
        <f>IF(B24="", "", IF(D24="MWh/yr (LHV)", "Enter data here", "Use column to left"))</f>
        <v>Enter data here</v>
      </c>
      <c r="R24" s="35" t="s">
        <v>899</v>
      </c>
      <c r="S24" s="70" t="str">
        <f t="shared" si="2"/>
        <v>Unfilled fields to left</v>
      </c>
      <c r="U24" s="21"/>
    </row>
    <row r="25" spans="1:26" s="14" customFormat="1">
      <c r="B25" s="190" t="s">
        <v>592</v>
      </c>
      <c r="C25" s="188" t="s">
        <v>598</v>
      </c>
      <c r="D25" s="183" t="s">
        <v>747</v>
      </c>
      <c r="E25" s="35"/>
      <c r="F25" s="24"/>
      <c r="G25" s="21"/>
      <c r="H25" s="66"/>
      <c r="I25" s="66"/>
      <c r="J25" s="311"/>
      <c r="K25" s="313"/>
      <c r="L25" s="247">
        <f t="shared" si="1"/>
        <v>0</v>
      </c>
      <c r="M25" s="19"/>
      <c r="N25" s="19"/>
      <c r="O25" s="19"/>
      <c r="P25" s="307" t="str">
        <f t="shared" si="3"/>
        <v>Use column to right</v>
      </c>
      <c r="Q25" s="307" t="str">
        <f t="shared" ref="Q25:Q30" si="4">IF(B25="", "", IF(D25="MWh/yr (LHV)", "Enter data here", "Use column to left"))</f>
        <v>Enter data here</v>
      </c>
      <c r="R25" s="35" t="s">
        <v>899</v>
      </c>
      <c r="S25" s="70" t="str">
        <f t="shared" si="2"/>
        <v>Unfilled fields to left</v>
      </c>
      <c r="U25" s="68"/>
    </row>
    <row r="26" spans="1:26">
      <c r="B26" s="190" t="s">
        <v>599</v>
      </c>
      <c r="C26" s="188" t="s">
        <v>600</v>
      </c>
      <c r="D26" s="183" t="s">
        <v>582</v>
      </c>
      <c r="E26" s="35"/>
      <c r="F26" s="21"/>
      <c r="G26" s="21"/>
      <c r="H26" s="20"/>
      <c r="I26" s="36"/>
      <c r="J26" s="307"/>
      <c r="K26" s="309"/>
      <c r="L26" s="247">
        <f t="shared" si="1"/>
        <v>0</v>
      </c>
      <c r="M26" s="19"/>
      <c r="N26" s="19"/>
      <c r="O26" s="19"/>
      <c r="P26" s="307" t="str">
        <f t="shared" si="3"/>
        <v>Enter data here</v>
      </c>
      <c r="Q26" s="307" t="str">
        <f t="shared" si="4"/>
        <v>Use column to left</v>
      </c>
      <c r="R26" s="35" t="s">
        <v>899</v>
      </c>
      <c r="S26" s="70" t="str">
        <f t="shared" si="2"/>
        <v>Unfilled fields to left</v>
      </c>
      <c r="T26" s="19"/>
      <c r="U26" s="25"/>
      <c r="V26" s="19"/>
      <c r="W26" s="19"/>
      <c r="X26" s="19"/>
      <c r="Y26" s="19"/>
      <c r="Z26" s="19"/>
    </row>
    <row r="27" spans="1:26">
      <c r="B27" s="190" t="s">
        <v>599</v>
      </c>
      <c r="C27" s="188" t="s">
        <v>601</v>
      </c>
      <c r="D27" s="183" t="s">
        <v>582</v>
      </c>
      <c r="E27" s="35"/>
      <c r="F27" s="21"/>
      <c r="G27" s="21"/>
      <c r="H27" s="20"/>
      <c r="I27" s="36"/>
      <c r="J27" s="307"/>
      <c r="K27" s="309"/>
      <c r="L27" s="247">
        <f t="shared" si="1"/>
        <v>0</v>
      </c>
      <c r="M27" s="19"/>
      <c r="N27" s="19"/>
      <c r="O27" s="19"/>
      <c r="P27" s="307" t="str">
        <f t="shared" si="3"/>
        <v>Enter data here</v>
      </c>
      <c r="Q27" s="307" t="str">
        <f t="shared" si="4"/>
        <v>Use column to left</v>
      </c>
      <c r="R27" s="35" t="s">
        <v>899</v>
      </c>
      <c r="S27" s="70" t="str">
        <f t="shared" si="2"/>
        <v>Unfilled fields to left</v>
      </c>
      <c r="T27" s="19"/>
      <c r="U27" s="25"/>
      <c r="V27" s="19"/>
      <c r="W27" s="19"/>
      <c r="X27" s="19"/>
      <c r="Y27" s="19"/>
      <c r="Z27" s="19"/>
    </row>
    <row r="28" spans="1:26">
      <c r="B28" s="190" t="s">
        <v>599</v>
      </c>
      <c r="C28" s="188" t="s">
        <v>602</v>
      </c>
      <c r="D28" s="183" t="s">
        <v>582</v>
      </c>
      <c r="E28" s="35"/>
      <c r="F28" s="21"/>
      <c r="G28" s="21"/>
      <c r="H28" s="20"/>
      <c r="I28" s="36"/>
      <c r="J28" s="307"/>
      <c r="K28" s="309"/>
      <c r="L28" s="247">
        <f t="shared" si="1"/>
        <v>0</v>
      </c>
      <c r="M28" s="19"/>
      <c r="N28" s="19"/>
      <c r="O28" s="19"/>
      <c r="P28" s="307" t="str">
        <f t="shared" si="3"/>
        <v>Enter data here</v>
      </c>
      <c r="Q28" s="307" t="str">
        <f t="shared" si="4"/>
        <v>Use column to left</v>
      </c>
      <c r="R28" s="35" t="s">
        <v>899</v>
      </c>
      <c r="S28" s="70" t="str">
        <f t="shared" si="2"/>
        <v>Unfilled fields to left</v>
      </c>
      <c r="T28" s="19"/>
      <c r="U28" s="25"/>
      <c r="V28" s="19"/>
      <c r="W28" s="19"/>
      <c r="X28" s="19"/>
      <c r="Y28" s="19"/>
      <c r="Z28" s="19"/>
    </row>
    <row r="29" spans="1:26">
      <c r="A29" s="19"/>
      <c r="B29" s="16"/>
      <c r="C29" s="15"/>
      <c r="D29" s="183"/>
      <c r="E29" s="35"/>
      <c r="F29" s="21"/>
      <c r="G29" s="21"/>
      <c r="H29" s="20"/>
      <c r="I29" s="36"/>
      <c r="J29" s="307"/>
      <c r="K29" s="309"/>
      <c r="L29" s="247">
        <f t="shared" si="1"/>
        <v>0</v>
      </c>
      <c r="M29" s="19"/>
      <c r="N29" s="19"/>
      <c r="O29" s="19"/>
      <c r="P29" s="307" t="str">
        <f t="shared" si="3"/>
        <v/>
      </c>
      <c r="Q29" s="307" t="str">
        <f t="shared" si="4"/>
        <v/>
      </c>
      <c r="R29" s="35"/>
      <c r="S29" s="70" t="str">
        <f t="shared" si="2"/>
        <v>Unfilled fields to left</v>
      </c>
      <c r="T29" s="19"/>
      <c r="U29" s="25"/>
      <c r="V29" s="19"/>
      <c r="W29" s="19"/>
      <c r="X29" s="19"/>
      <c r="Y29" s="19"/>
      <c r="Z29" s="19"/>
    </row>
    <row r="30" spans="1:26">
      <c r="A30" s="19"/>
      <c r="B30" s="16"/>
      <c r="C30" s="15"/>
      <c r="D30" s="183"/>
      <c r="E30" s="35"/>
      <c r="F30" s="21"/>
      <c r="G30" s="21"/>
      <c r="H30" s="20"/>
      <c r="I30" s="36"/>
      <c r="J30" s="307"/>
      <c r="K30" s="309"/>
      <c r="L30" s="247">
        <f t="shared" si="1"/>
        <v>0</v>
      </c>
      <c r="M30" s="19"/>
      <c r="N30" s="19"/>
      <c r="O30" s="19"/>
      <c r="P30" s="307" t="str">
        <f t="shared" si="3"/>
        <v/>
      </c>
      <c r="Q30" s="307" t="str">
        <f t="shared" si="4"/>
        <v/>
      </c>
      <c r="R30" s="35"/>
      <c r="S30" s="70" t="str">
        <f t="shared" si="2"/>
        <v>Unfilled fields to left</v>
      </c>
      <c r="T30" s="19"/>
      <c r="U30" s="25"/>
      <c r="V30" s="19"/>
      <c r="W30" s="19"/>
      <c r="X30" s="19"/>
      <c r="Y30" s="19"/>
      <c r="Z30" s="19"/>
    </row>
    <row r="31" spans="1:26" s="502" customFormat="1">
      <c r="C31" s="503"/>
      <c r="D31" s="503"/>
      <c r="E31" s="536"/>
      <c r="F31" s="503"/>
      <c r="G31" s="73"/>
      <c r="H31" s="74"/>
      <c r="I31" s="75"/>
      <c r="J31" s="78"/>
      <c r="K31" s="76"/>
      <c r="L31" s="76"/>
      <c r="P31" s="78"/>
      <c r="Q31" s="76"/>
      <c r="R31" s="76"/>
      <c r="S31" s="76"/>
      <c r="U31" s="77"/>
    </row>
    <row r="32" spans="1:26" ht="31.2">
      <c r="B32" s="83" t="str">
        <f>IF(AND(GHG_BIOMETHANE_REFORM!D10="Default",Master_Switch = "On"),"Default data selected for the category below, move to the next category of the module","")</f>
        <v/>
      </c>
      <c r="C32" s="72"/>
      <c r="D32" s="72"/>
      <c r="E32" s="532"/>
      <c r="F32" s="73"/>
      <c r="G32" s="73"/>
      <c r="H32" s="74"/>
      <c r="I32" s="75"/>
      <c r="J32" s="78"/>
      <c r="K32" s="76"/>
      <c r="L32" s="76"/>
      <c r="M32" s="12"/>
      <c r="P32" s="78"/>
      <c r="Q32" s="76"/>
      <c r="R32" s="76"/>
      <c r="S32" s="76"/>
      <c r="U32" s="77"/>
      <c r="V32" s="12"/>
    </row>
    <row r="33" spans="2:22" ht="15.6">
      <c r="B33" s="149" t="s">
        <v>889</v>
      </c>
      <c r="C33" s="158"/>
      <c r="D33" s="158"/>
      <c r="E33" s="533"/>
      <c r="F33" s="159"/>
      <c r="G33" s="159"/>
      <c r="H33" s="160"/>
      <c r="I33" s="161"/>
      <c r="J33" s="312"/>
      <c r="K33" s="504"/>
      <c r="L33" s="504"/>
      <c r="M33" s="162"/>
      <c r="N33" s="162"/>
      <c r="O33" s="162"/>
      <c r="P33" s="312"/>
      <c r="Q33" s="504"/>
      <c r="R33" s="504"/>
      <c r="S33" s="157">
        <f>SUM(S34:S43)</f>
        <v>0</v>
      </c>
      <c r="U33" s="77"/>
      <c r="V33" s="12"/>
    </row>
    <row r="34" spans="2:22">
      <c r="B34" s="16" t="s">
        <v>603</v>
      </c>
      <c r="C34" s="188" t="s">
        <v>650</v>
      </c>
      <c r="D34" s="183" t="s">
        <v>582</v>
      </c>
      <c r="E34" s="35"/>
      <c r="F34" s="21"/>
      <c r="G34" s="21"/>
      <c r="H34" s="21"/>
      <c r="I34" s="21"/>
      <c r="J34" s="313"/>
      <c r="K34" s="313"/>
      <c r="L34" s="247">
        <f t="shared" ref="L34:L43" si="5">IF($D34="MWh/yr (LHV)",$E34,$J34*$E34/Conversion_kWh_to_MJ)</f>
        <v>0</v>
      </c>
      <c r="M34" s="12"/>
      <c r="P34" s="35" t="str">
        <f t="shared" ref="P34" si="6">IF(B34="", "", IF(D34="MWh/yr (LHV)", "Use column to right", "Enter data here"))</f>
        <v>Enter data here</v>
      </c>
      <c r="Q34" s="35" t="str">
        <f t="shared" ref="Q34" si="7">IF(B34="", "", IF(D34="MWh/yr (LHV)", "Enter data here", "Use column to left"))</f>
        <v>Use column to left</v>
      </c>
      <c r="R34" s="35" t="s">
        <v>899</v>
      </c>
      <c r="S34" s="44" t="str">
        <f t="shared" ref="S34:S43" si="8">IFERROR(IF(D34="tonnes/yr", $P34*$E34/($L$9*3.6), $Q34*$E34*3.6/($L$9*3.6)), "Unfilled fields to left")</f>
        <v>Unfilled fields to left</v>
      </c>
      <c r="U34" s="21"/>
      <c r="V34" s="12"/>
    </row>
    <row r="35" spans="2:22">
      <c r="B35" s="16" t="s">
        <v>605</v>
      </c>
      <c r="C35" s="188" t="s">
        <v>585</v>
      </c>
      <c r="D35" s="183" t="s">
        <v>582</v>
      </c>
      <c r="E35" s="35"/>
      <c r="F35" s="21"/>
      <c r="G35" s="21"/>
      <c r="H35" s="20"/>
      <c r="I35" s="36"/>
      <c r="J35" s="307"/>
      <c r="K35" s="309"/>
      <c r="L35" s="247">
        <f t="shared" si="5"/>
        <v>0</v>
      </c>
      <c r="M35" s="12"/>
      <c r="P35" s="35" t="str">
        <f t="shared" ref="P35:P43" si="9">IF(B35="", "", IF(D35="MWh/yr (LHV)", "Use column to right", "Enter data here"))</f>
        <v>Enter data here</v>
      </c>
      <c r="Q35" s="35" t="str">
        <f t="shared" ref="Q35:Q43" si="10">IF(B35="", "", IF(D35="MWh/yr (LHV)", "Enter data here", "Use column to left"))</f>
        <v>Use column to left</v>
      </c>
      <c r="R35" s="35" t="s">
        <v>899</v>
      </c>
      <c r="S35" s="44" t="str">
        <f t="shared" si="8"/>
        <v>Unfilled fields to left</v>
      </c>
      <c r="U35" s="25"/>
      <c r="V35" s="12"/>
    </row>
    <row r="36" spans="2:22">
      <c r="B36" s="16" t="s">
        <v>605</v>
      </c>
      <c r="C36" s="188" t="s">
        <v>607</v>
      </c>
      <c r="D36" s="183" t="s">
        <v>582</v>
      </c>
      <c r="E36" s="35"/>
      <c r="F36" s="21"/>
      <c r="G36" s="21"/>
      <c r="H36" s="20"/>
      <c r="I36" s="36"/>
      <c r="J36" s="307"/>
      <c r="K36" s="309"/>
      <c r="L36" s="247">
        <f t="shared" si="5"/>
        <v>0</v>
      </c>
      <c r="M36" s="12"/>
      <c r="P36" s="35" t="str">
        <f t="shared" si="9"/>
        <v>Enter data here</v>
      </c>
      <c r="Q36" s="35" t="str">
        <f t="shared" si="10"/>
        <v>Use column to left</v>
      </c>
      <c r="R36" s="35" t="s">
        <v>899</v>
      </c>
      <c r="S36" s="44" t="str">
        <f t="shared" si="8"/>
        <v>Unfilled fields to left</v>
      </c>
      <c r="U36" s="25"/>
      <c r="V36" s="12"/>
    </row>
    <row r="37" spans="2:22">
      <c r="B37" s="16" t="s">
        <v>605</v>
      </c>
      <c r="C37" s="188"/>
      <c r="D37" s="183"/>
      <c r="E37" s="35"/>
      <c r="F37" s="21"/>
      <c r="G37" s="21"/>
      <c r="H37" s="20"/>
      <c r="I37" s="36"/>
      <c r="J37" s="307"/>
      <c r="K37" s="309"/>
      <c r="L37" s="247">
        <f t="shared" si="5"/>
        <v>0</v>
      </c>
      <c r="M37" s="12"/>
      <c r="P37" s="35" t="str">
        <f t="shared" si="9"/>
        <v>Enter data here</v>
      </c>
      <c r="Q37" s="35" t="str">
        <f t="shared" si="10"/>
        <v>Use column to left</v>
      </c>
      <c r="R37" s="35" t="s">
        <v>899</v>
      </c>
      <c r="S37" s="44" t="str">
        <f t="shared" si="8"/>
        <v>Unfilled fields to left</v>
      </c>
      <c r="U37" s="25"/>
      <c r="V37" s="12"/>
    </row>
    <row r="38" spans="2:22">
      <c r="B38" s="16" t="s">
        <v>608</v>
      </c>
      <c r="C38" s="188" t="s">
        <v>609</v>
      </c>
      <c r="D38" s="183" t="s">
        <v>582</v>
      </c>
      <c r="E38" s="35"/>
      <c r="F38" s="21"/>
      <c r="G38" s="21"/>
      <c r="H38" s="20"/>
      <c r="I38" s="36"/>
      <c r="J38" s="307"/>
      <c r="K38" s="309"/>
      <c r="L38" s="247">
        <f t="shared" si="5"/>
        <v>0</v>
      </c>
      <c r="M38" s="12"/>
      <c r="P38" s="35" t="str">
        <f t="shared" si="9"/>
        <v>Enter data here</v>
      </c>
      <c r="Q38" s="35" t="str">
        <f t="shared" si="10"/>
        <v>Use column to left</v>
      </c>
      <c r="R38" s="35" t="s">
        <v>899</v>
      </c>
      <c r="S38" s="44" t="str">
        <f t="shared" si="8"/>
        <v>Unfilled fields to left</v>
      </c>
      <c r="U38" s="25"/>
      <c r="V38" s="12"/>
    </row>
    <row r="39" spans="2:22">
      <c r="B39" s="16" t="s">
        <v>608</v>
      </c>
      <c r="C39" s="15"/>
      <c r="D39" s="183"/>
      <c r="E39" s="35"/>
      <c r="F39" s="21"/>
      <c r="G39" s="21"/>
      <c r="H39" s="20"/>
      <c r="I39" s="36"/>
      <c r="J39" s="307"/>
      <c r="K39" s="309"/>
      <c r="L39" s="247">
        <f t="shared" si="5"/>
        <v>0</v>
      </c>
      <c r="M39" s="12"/>
      <c r="P39" s="35" t="str">
        <f t="shared" si="9"/>
        <v>Enter data here</v>
      </c>
      <c r="Q39" s="35" t="str">
        <f t="shared" si="10"/>
        <v>Use column to left</v>
      </c>
      <c r="R39" s="35" t="s">
        <v>899</v>
      </c>
      <c r="S39" s="44" t="str">
        <f t="shared" si="8"/>
        <v>Unfilled fields to left</v>
      </c>
      <c r="U39" s="25"/>
      <c r="V39" s="12"/>
    </row>
    <row r="40" spans="2:22">
      <c r="B40" s="16"/>
      <c r="C40" s="15"/>
      <c r="D40" s="183"/>
      <c r="E40" s="35"/>
      <c r="F40" s="57"/>
      <c r="G40" s="21"/>
      <c r="H40" s="20"/>
      <c r="I40" s="36"/>
      <c r="J40" s="307"/>
      <c r="K40" s="309"/>
      <c r="L40" s="247">
        <f t="shared" si="5"/>
        <v>0</v>
      </c>
      <c r="M40" s="12"/>
      <c r="P40" s="35" t="str">
        <f t="shared" si="9"/>
        <v/>
      </c>
      <c r="Q40" s="35" t="str">
        <f t="shared" si="10"/>
        <v/>
      </c>
      <c r="R40" s="35"/>
      <c r="S40" s="44" t="str">
        <f t="shared" si="8"/>
        <v>Unfilled fields to left</v>
      </c>
      <c r="U40" s="25"/>
      <c r="V40" s="12"/>
    </row>
    <row r="41" spans="2:22">
      <c r="B41" s="16"/>
      <c r="C41" s="15"/>
      <c r="D41" s="183"/>
      <c r="E41" s="35"/>
      <c r="F41" s="57"/>
      <c r="G41" s="21"/>
      <c r="H41" s="20"/>
      <c r="I41" s="36"/>
      <c r="J41" s="307"/>
      <c r="K41" s="309"/>
      <c r="L41" s="247">
        <f t="shared" si="5"/>
        <v>0</v>
      </c>
      <c r="M41" s="12"/>
      <c r="P41" s="35" t="str">
        <f t="shared" si="9"/>
        <v/>
      </c>
      <c r="Q41" s="35" t="str">
        <f t="shared" si="10"/>
        <v/>
      </c>
      <c r="R41" s="35"/>
      <c r="S41" s="44" t="str">
        <f t="shared" si="8"/>
        <v>Unfilled fields to left</v>
      </c>
      <c r="U41" s="25"/>
      <c r="V41" s="12"/>
    </row>
    <row r="42" spans="2:22">
      <c r="B42" s="16"/>
      <c r="C42" s="15"/>
      <c r="D42" s="183"/>
      <c r="E42" s="35"/>
      <c r="F42" s="57"/>
      <c r="G42" s="21"/>
      <c r="H42" s="20"/>
      <c r="I42" s="36"/>
      <c r="J42" s="307"/>
      <c r="K42" s="309"/>
      <c r="L42" s="247">
        <f t="shared" si="5"/>
        <v>0</v>
      </c>
      <c r="M42" s="12"/>
      <c r="P42" s="35" t="str">
        <f t="shared" si="9"/>
        <v/>
      </c>
      <c r="Q42" s="35" t="str">
        <f t="shared" si="10"/>
        <v/>
      </c>
      <c r="R42" s="35"/>
      <c r="S42" s="44" t="str">
        <f t="shared" si="8"/>
        <v>Unfilled fields to left</v>
      </c>
      <c r="U42" s="25"/>
      <c r="V42" s="12"/>
    </row>
    <row r="43" spans="2:22">
      <c r="B43" s="16"/>
      <c r="C43" s="15"/>
      <c r="D43" s="183"/>
      <c r="E43" s="35"/>
      <c r="F43" s="21"/>
      <c r="G43" s="21"/>
      <c r="H43" s="20"/>
      <c r="I43" s="36"/>
      <c r="J43" s="307"/>
      <c r="K43" s="309"/>
      <c r="L43" s="247">
        <f t="shared" si="5"/>
        <v>0</v>
      </c>
      <c r="M43" s="12"/>
      <c r="P43" s="35" t="str">
        <f t="shared" si="9"/>
        <v/>
      </c>
      <c r="Q43" s="35" t="str">
        <f t="shared" si="10"/>
        <v/>
      </c>
      <c r="R43" s="35"/>
      <c r="S43" s="44" t="str">
        <f t="shared" si="8"/>
        <v>Unfilled fields to left</v>
      </c>
      <c r="U43" s="25"/>
      <c r="V43" s="12"/>
    </row>
    <row r="44" spans="2:22">
      <c r="B44" s="14"/>
      <c r="C44" s="86"/>
      <c r="D44" s="86"/>
      <c r="E44" s="526"/>
      <c r="F44" s="87"/>
      <c r="G44" s="88"/>
      <c r="H44" s="89"/>
      <c r="I44" s="89"/>
      <c r="J44" s="90"/>
      <c r="K44" s="90"/>
      <c r="L44" s="90"/>
      <c r="M44" s="28"/>
      <c r="N44" s="14"/>
      <c r="O44" s="14"/>
      <c r="P44" s="90"/>
      <c r="Q44" s="90"/>
      <c r="R44" s="90"/>
      <c r="S44" s="90"/>
      <c r="U44" s="27"/>
      <c r="V44" s="12"/>
    </row>
    <row r="45" spans="2:22" s="14" customFormat="1" ht="15.6">
      <c r="B45" s="149" t="s">
        <v>813</v>
      </c>
      <c r="C45" s="158"/>
      <c r="D45" s="158"/>
      <c r="E45" s="533"/>
      <c r="F45" s="159"/>
      <c r="G45" s="159"/>
      <c r="H45" s="160"/>
      <c r="I45" s="161"/>
      <c r="J45" s="312"/>
      <c r="K45" s="504"/>
      <c r="L45" s="504"/>
      <c r="M45" s="162"/>
      <c r="N45" s="162"/>
      <c r="O45" s="162"/>
      <c r="P45" s="312"/>
      <c r="Q45" s="504"/>
      <c r="R45" s="504"/>
      <c r="S45" s="157">
        <f>SUM(S46:S50)</f>
        <v>0</v>
      </c>
      <c r="U45" s="73"/>
    </row>
    <row r="46" spans="2:22" s="14" customFormat="1">
      <c r="B46" s="16" t="s">
        <v>611</v>
      </c>
      <c r="C46" s="188" t="s">
        <v>836</v>
      </c>
      <c r="D46" s="183" t="s">
        <v>582</v>
      </c>
      <c r="E46" s="35"/>
      <c r="F46" s="24"/>
      <c r="G46" s="21"/>
      <c r="H46" s="21"/>
      <c r="I46" s="21"/>
      <c r="J46" s="313"/>
      <c r="K46" s="313"/>
      <c r="L46" s="247">
        <f>IF($D46="MWh/yr (LHV)",$E46,$J46*$E46/Conversion_kWh_to_MJ)</f>
        <v>0</v>
      </c>
      <c r="M46" s="12"/>
      <c r="N46" s="12"/>
      <c r="O46" s="12"/>
      <c r="P46" s="307">
        <v>0</v>
      </c>
      <c r="Q46" s="505"/>
      <c r="R46" s="35" t="s">
        <v>801</v>
      </c>
      <c r="S46" s="247" t="str">
        <f>IFERROR(IF(D46="tonnes/yr", $P46*$E46/($L$9*3.6), $Q46*$E46*3.6/($L$9*3.6)), "Unfilled fields to left")</f>
        <v>Unfilled fields to left</v>
      </c>
      <c r="U46" s="21"/>
    </row>
    <row r="47" spans="2:22" s="14" customFormat="1">
      <c r="B47" s="16" t="s">
        <v>611</v>
      </c>
      <c r="C47" s="188" t="s">
        <v>837</v>
      </c>
      <c r="D47" s="183" t="s">
        <v>582</v>
      </c>
      <c r="E47" s="35"/>
      <c r="F47" s="66"/>
      <c r="G47" s="66"/>
      <c r="H47" s="66"/>
      <c r="I47" s="66"/>
      <c r="J47" s="311"/>
      <c r="K47" s="313"/>
      <c r="L47" s="247">
        <f>IF($D47="MWh/yr (LHV)",$E47,$J47*$E47/Conversion_kWh_to_MJ)</f>
        <v>0</v>
      </c>
      <c r="M47" s="12"/>
      <c r="N47" s="12"/>
      <c r="O47" s="12"/>
      <c r="P47" s="35">
        <v>1000</v>
      </c>
      <c r="Q47" s="546"/>
      <c r="R47" s="35" t="s">
        <v>814</v>
      </c>
      <c r="S47" s="247" t="str">
        <f>IFERROR(IF(D47="tonnes/yr", $P47*$E47/($L$9*3.6), $Q47*$E47*3.6/($L$9*3.6)), "Unfilled fields to left")</f>
        <v>Unfilled fields to left</v>
      </c>
      <c r="U47" s="21"/>
    </row>
    <row r="48" spans="2:22" s="14" customFormat="1">
      <c r="B48" s="67"/>
      <c r="C48" s="15"/>
      <c r="D48" s="183"/>
      <c r="E48" s="35"/>
      <c r="F48" s="21"/>
      <c r="G48" s="21"/>
      <c r="H48" s="66"/>
      <c r="I48" s="66"/>
      <c r="J48" s="311"/>
      <c r="K48" s="313"/>
      <c r="L48" s="247">
        <f>IF($D48="MWh/yr (LHV)",$E48,$J48*$E48/Conversion_kWh_to_MJ)</f>
        <v>0</v>
      </c>
      <c r="M48" s="19"/>
      <c r="N48" s="19"/>
      <c r="O48" s="19"/>
      <c r="P48" s="309"/>
      <c r="Q48" s="505"/>
      <c r="R48" s="309"/>
      <c r="S48" s="247" t="str">
        <f>IFERROR(IF(D48="tonnes/yr", $P48*$E48/($L$9*3.6), $Q48*$E48*3.6/($L$9*3.6)), "Unfilled fields to left")</f>
        <v>Unfilled fields to left</v>
      </c>
      <c r="U48" s="68"/>
    </row>
    <row r="49" spans="2:22" s="14" customFormat="1">
      <c r="B49" s="67"/>
      <c r="C49" s="15"/>
      <c r="D49" s="183"/>
      <c r="E49" s="35"/>
      <c r="F49" s="21"/>
      <c r="G49" s="21"/>
      <c r="H49" s="21"/>
      <c r="I49" s="21"/>
      <c r="J49" s="313"/>
      <c r="K49" s="313"/>
      <c r="L49" s="247">
        <f>IF($D49="MWh/yr (LHV)",$E49,$J49*$E49/Conversion_kWh_to_MJ)</f>
        <v>0</v>
      </c>
      <c r="M49" s="19"/>
      <c r="N49" s="19"/>
      <c r="O49" s="19"/>
      <c r="P49" s="315"/>
      <c r="Q49" s="505"/>
      <c r="R49" s="309"/>
      <c r="S49" s="247" t="str">
        <f>IFERROR(IF(D49="tonnes/yr", $P49*$E49/($L$9*3.6), $Q49*$E49*3.6/($L$9*3.6)), "Unfilled fields to left")</f>
        <v>Unfilled fields to left</v>
      </c>
      <c r="U49" s="68"/>
    </row>
    <row r="50" spans="2:22" s="14" customFormat="1">
      <c r="B50" s="67"/>
      <c r="C50" s="15"/>
      <c r="D50" s="183"/>
      <c r="E50" s="35"/>
      <c r="F50" s="21"/>
      <c r="G50" s="21"/>
      <c r="H50" s="21"/>
      <c r="I50" s="21"/>
      <c r="J50" s="313"/>
      <c r="K50" s="313"/>
      <c r="L50" s="247">
        <f>IF($D50="MWh/yr (LHV)",$E50,$J50*$E50/Conversion_kWh_to_MJ)</f>
        <v>0</v>
      </c>
      <c r="M50" s="19"/>
      <c r="N50" s="19"/>
      <c r="O50" s="19"/>
      <c r="P50" s="315"/>
      <c r="Q50" s="505"/>
      <c r="R50" s="309"/>
      <c r="S50" s="247" t="str">
        <f>IFERROR(IF(D50="tonnes/yr", $P50*$E50/($L$9*3.6), $Q50*$E50*3.6/($L$9*3.6)), "Unfilled fields to left")</f>
        <v>Unfilled fields to left</v>
      </c>
      <c r="U50" s="68"/>
    </row>
    <row r="51" spans="2:22" s="14" customFormat="1">
      <c r="B51" s="71"/>
      <c r="C51" s="72"/>
      <c r="D51" s="72"/>
      <c r="E51" s="532"/>
      <c r="F51" s="73"/>
      <c r="G51" s="73"/>
      <c r="H51" s="73"/>
      <c r="I51" s="73"/>
      <c r="J51" s="146"/>
      <c r="K51" s="146"/>
      <c r="L51" s="76"/>
      <c r="M51" s="19"/>
      <c r="N51" s="19"/>
      <c r="O51" s="19"/>
      <c r="P51" s="76"/>
      <c r="Q51" s="76"/>
      <c r="R51" s="76"/>
      <c r="S51" s="76"/>
      <c r="U51" s="73"/>
    </row>
    <row r="52" spans="2:22" s="14" customFormat="1">
      <c r="B52" s="149" t="s">
        <v>524</v>
      </c>
      <c r="C52" s="158"/>
      <c r="D52" s="158"/>
      <c r="E52" s="533"/>
      <c r="F52" s="159"/>
      <c r="G52" s="159"/>
      <c r="H52" s="160"/>
      <c r="I52" s="161"/>
      <c r="J52" s="312"/>
      <c r="K52" s="504"/>
      <c r="L52" s="504"/>
      <c r="M52" s="162"/>
      <c r="N52" s="162"/>
      <c r="O52" s="162"/>
      <c r="P52" s="312"/>
      <c r="Q52" s="504"/>
      <c r="R52" s="504"/>
      <c r="S52" s="157">
        <f>SUM(S53:S58)</f>
        <v>0</v>
      </c>
      <c r="U52" s="73"/>
    </row>
    <row r="53" spans="2:22" s="14" customFormat="1">
      <c r="B53" s="190" t="s">
        <v>592</v>
      </c>
      <c r="C53" s="188" t="s">
        <v>613</v>
      </c>
      <c r="D53" s="183" t="s">
        <v>747</v>
      </c>
      <c r="E53" s="35"/>
      <c r="F53" s="24"/>
      <c r="G53" s="21"/>
      <c r="H53" s="66"/>
      <c r="I53" s="66"/>
      <c r="J53" s="311"/>
      <c r="K53" s="313"/>
      <c r="L53" s="247">
        <f t="shared" ref="L53:L58" si="11">IF($D53="MWh/yr (LHV)",$E53,$J53*$E53/Conversion_kWh_to_MJ)</f>
        <v>0</v>
      </c>
      <c r="M53" s="19"/>
      <c r="N53" s="19"/>
      <c r="O53" s="19"/>
      <c r="P53" s="307" t="str">
        <f t="shared" ref="P53:P57" si="12">IF(B53="", "", IF(D53="MWh/yr (LHV)", "Use column to right", "Enter data here"))</f>
        <v>Use column to right</v>
      </c>
      <c r="Q53" s="307" t="e">
        <f>Initial_questions!$E$41*1000/Conversion_kWh_to_MJ</f>
        <v>#VALUE!</v>
      </c>
      <c r="R53" s="35" t="s">
        <v>799</v>
      </c>
      <c r="S53" s="247" t="str">
        <f t="shared" ref="S53:S58" si="13">IFERROR(IF(D53="tonnes/yr", $P53*$E53/($L$9*3.6), $Q53*$E53*3.6/($L$9*3.6)), "Unfilled fields to left")</f>
        <v>Unfilled fields to left</v>
      </c>
      <c r="U53" s="21"/>
    </row>
    <row r="54" spans="2:22" s="14" customFormat="1">
      <c r="B54" s="190" t="s">
        <v>592</v>
      </c>
      <c r="C54" s="188" t="s">
        <v>614</v>
      </c>
      <c r="D54" s="183" t="s">
        <v>747</v>
      </c>
      <c r="E54" s="35"/>
      <c r="F54" s="24"/>
      <c r="G54" s="21"/>
      <c r="H54" s="66"/>
      <c r="I54" s="66"/>
      <c r="J54" s="311"/>
      <c r="K54" s="313"/>
      <c r="L54" s="247">
        <f t="shared" si="11"/>
        <v>0</v>
      </c>
      <c r="M54" s="19"/>
      <c r="N54" s="19"/>
      <c r="O54" s="19"/>
      <c r="P54" s="307" t="str">
        <f t="shared" si="12"/>
        <v>Use column to right</v>
      </c>
      <c r="Q54" s="307" t="e">
        <f>INDEX(Assumptions!$F$5:$AJ$5,1,MATCH(Initial_questions!$E$24,Assumptions!$F$4:$AJ$4,0))*1000/Conversion_kWh_to_MJ</f>
        <v>#N/A</v>
      </c>
      <c r="R54" s="35" t="s">
        <v>896</v>
      </c>
      <c r="S54" s="247" t="str">
        <f t="shared" si="13"/>
        <v>Unfilled fields to left</v>
      </c>
      <c r="U54" s="68"/>
    </row>
    <row r="55" spans="2:22" s="14" customFormat="1">
      <c r="B55" s="190" t="s">
        <v>592</v>
      </c>
      <c r="C55" s="188" t="s">
        <v>879</v>
      </c>
      <c r="D55" s="183" t="s">
        <v>582</v>
      </c>
      <c r="E55" s="35"/>
      <c r="F55" s="24"/>
      <c r="G55" s="21"/>
      <c r="H55" s="66"/>
      <c r="I55" s="66"/>
      <c r="J55" s="311"/>
      <c r="K55" s="313"/>
      <c r="L55" s="247">
        <f t="shared" si="11"/>
        <v>0</v>
      </c>
      <c r="M55" s="19"/>
      <c r="N55" s="19"/>
      <c r="O55" s="19"/>
      <c r="P55" s="307" t="str">
        <f t="shared" si="12"/>
        <v>Enter data here</v>
      </c>
      <c r="Q55" s="307" t="str">
        <f t="shared" ref="Q55:Q56" si="14">IF(B55="", "", IF(D55="MWh/yr (LHV)", "Enter data here", "Use column to left"))</f>
        <v>Use column to left</v>
      </c>
      <c r="R55" s="35" t="s">
        <v>871</v>
      </c>
      <c r="S55" s="247" t="str">
        <f t="shared" si="13"/>
        <v>Unfilled fields to left</v>
      </c>
      <c r="U55" s="68"/>
    </row>
    <row r="56" spans="2:22">
      <c r="B56" s="190" t="s">
        <v>592</v>
      </c>
      <c r="C56" s="188" t="s">
        <v>615</v>
      </c>
      <c r="D56" s="183" t="s">
        <v>582</v>
      </c>
      <c r="E56" s="35"/>
      <c r="F56" s="21"/>
      <c r="G56" s="21"/>
      <c r="H56" s="21"/>
      <c r="I56" s="21"/>
      <c r="J56" s="313"/>
      <c r="K56" s="313"/>
      <c r="L56" s="247">
        <f t="shared" si="11"/>
        <v>0</v>
      </c>
      <c r="M56" s="12"/>
      <c r="P56" s="307" t="str">
        <f t="shared" si="12"/>
        <v>Enter data here</v>
      </c>
      <c r="Q56" s="307" t="str">
        <f t="shared" si="14"/>
        <v>Use column to left</v>
      </c>
      <c r="R56" s="35" t="s">
        <v>871</v>
      </c>
      <c r="S56" s="247" t="str">
        <f t="shared" si="13"/>
        <v>Unfilled fields to left</v>
      </c>
      <c r="U56" s="21"/>
      <c r="V56" s="12"/>
    </row>
    <row r="57" spans="2:22">
      <c r="B57" s="190" t="s">
        <v>592</v>
      </c>
      <c r="C57" s="188" t="s">
        <v>616</v>
      </c>
      <c r="D57" s="183" t="s">
        <v>747</v>
      </c>
      <c r="E57" s="35"/>
      <c r="F57" s="21"/>
      <c r="G57" s="21"/>
      <c r="H57" s="21"/>
      <c r="I57" s="21"/>
      <c r="J57" s="313"/>
      <c r="K57" s="313"/>
      <c r="L57" s="247">
        <f t="shared" si="11"/>
        <v>0</v>
      </c>
      <c r="M57" s="12"/>
      <c r="P57" s="307" t="str">
        <f t="shared" si="12"/>
        <v>Use column to right</v>
      </c>
      <c r="Q57" s="307" t="e">
        <f>INDEX(Assumptions!$F$5:$AJ$5,1,MATCH(Initial_questions!$E$24,Assumptions!$F$4:$AJ$4,0))*1000/Conversion_kWh_to_MJ</f>
        <v>#N/A</v>
      </c>
      <c r="R57" s="35" t="s">
        <v>896</v>
      </c>
      <c r="S57" s="247" t="str">
        <f t="shared" si="13"/>
        <v>Unfilled fields to left</v>
      </c>
      <c r="U57" s="21"/>
      <c r="V57" s="12"/>
    </row>
    <row r="58" spans="2:22">
      <c r="B58" s="16"/>
      <c r="C58" s="15"/>
      <c r="D58" s="183"/>
      <c r="E58" s="35"/>
      <c r="F58" s="21"/>
      <c r="G58" s="21"/>
      <c r="H58" s="21"/>
      <c r="I58" s="21"/>
      <c r="J58" s="313"/>
      <c r="K58" s="313"/>
      <c r="L58" s="247">
        <f t="shared" si="11"/>
        <v>0</v>
      </c>
      <c r="M58" s="12"/>
      <c r="P58" s="309"/>
      <c r="Q58" s="309"/>
      <c r="R58" s="309"/>
      <c r="S58" s="247" t="str">
        <f t="shared" si="13"/>
        <v>Unfilled fields to left</v>
      </c>
      <c r="U58" s="21"/>
      <c r="V58" s="12"/>
    </row>
    <row r="59" spans="2:22" s="14" customFormat="1">
      <c r="B59" s="71"/>
      <c r="C59" s="72"/>
      <c r="D59" s="72"/>
      <c r="E59" s="146"/>
      <c r="F59" s="73"/>
      <c r="G59" s="73"/>
      <c r="H59" s="74"/>
      <c r="I59" s="74"/>
      <c r="J59" s="76"/>
      <c r="K59" s="76"/>
      <c r="L59" s="76"/>
      <c r="M59" s="12"/>
      <c r="N59" s="12"/>
      <c r="O59" s="12"/>
      <c r="P59" s="76"/>
      <c r="Q59" s="76"/>
      <c r="R59" s="76"/>
      <c r="S59" s="76"/>
      <c r="U59" s="73"/>
    </row>
    <row r="60" spans="2:22" s="14" customFormat="1" ht="15.6">
      <c r="B60" s="149" t="s">
        <v>617</v>
      </c>
      <c r="C60" s="158"/>
      <c r="D60" s="158"/>
      <c r="E60" s="533"/>
      <c r="F60" s="159"/>
      <c r="G60" s="159"/>
      <c r="H60" s="160"/>
      <c r="I60" s="161"/>
      <c r="J60" s="312"/>
      <c r="K60" s="504"/>
      <c r="L60" s="504"/>
      <c r="M60" s="162"/>
      <c r="N60" s="162"/>
      <c r="O60" s="162"/>
      <c r="P60" s="312"/>
      <c r="Q60" s="504"/>
      <c r="R60" s="504"/>
      <c r="S60" s="157">
        <f>SUM(S61:S65)</f>
        <v>0</v>
      </c>
      <c r="U60" s="73"/>
    </row>
    <row r="61" spans="2:22" s="14" customFormat="1">
      <c r="B61" s="190" t="s">
        <v>811</v>
      </c>
      <c r="C61" s="188" t="s">
        <v>759</v>
      </c>
      <c r="D61" s="183" t="s">
        <v>582</v>
      </c>
      <c r="E61" s="35">
        <f>E46*$E$80*(1-$E$81)</f>
        <v>0</v>
      </c>
      <c r="F61" s="66"/>
      <c r="G61" s="66"/>
      <c r="H61" s="66"/>
      <c r="I61" s="66"/>
      <c r="J61" s="311"/>
      <c r="K61" s="313"/>
      <c r="L61" s="247">
        <f>IF($D61="MWh/yr (LHV)",$E61,$J61*$E61/Conversion_kWh_to_MJ)</f>
        <v>0</v>
      </c>
      <c r="M61" s="12"/>
      <c r="N61" s="12"/>
      <c r="O61" s="12"/>
      <c r="P61" s="307">
        <v>-1000</v>
      </c>
      <c r="Q61" s="505"/>
      <c r="R61" s="35" t="s">
        <v>802</v>
      </c>
      <c r="S61" s="247" t="str">
        <f>IFERROR(IF(D61="tonnes/yr", $P61*$E61/($L$9*3.6), $Q61*$E61*3.6/($L$9*3.6)), "Unfilled fields to left")</f>
        <v>Unfilled fields to left</v>
      </c>
      <c r="U61" s="21"/>
    </row>
    <row r="62" spans="2:22" s="14" customFormat="1">
      <c r="B62" s="190" t="s">
        <v>811</v>
      </c>
      <c r="C62" s="188" t="s">
        <v>819</v>
      </c>
      <c r="D62" s="183" t="s">
        <v>582</v>
      </c>
      <c r="E62" s="35">
        <f>E47*$E$80*(1-$E$81)</f>
        <v>0</v>
      </c>
      <c r="F62" s="21"/>
      <c r="G62" s="21"/>
      <c r="H62" s="66"/>
      <c r="I62" s="66"/>
      <c r="J62" s="311"/>
      <c r="K62" s="313"/>
      <c r="L62" s="247">
        <f>IF($D62="MWh/yr (LHV)",$E62,$J62*$E62/Conversion_kWh_to_MJ)</f>
        <v>0</v>
      </c>
      <c r="M62" s="19"/>
      <c r="N62" s="19"/>
      <c r="O62" s="19"/>
      <c r="P62" s="307">
        <v>-1000</v>
      </c>
      <c r="Q62" s="505"/>
      <c r="R62" s="35" t="s">
        <v>828</v>
      </c>
      <c r="S62" s="247" t="str">
        <f>IFERROR(IF(D62="tonnes/yr", $P62*$E62/($L$9*3.6), $Q62*$E62*3.6/($L$9*3.6)), "Unfilled fields to left")</f>
        <v>Unfilled fields to left</v>
      </c>
      <c r="U62" s="68"/>
    </row>
    <row r="63" spans="2:22" s="14" customFormat="1">
      <c r="B63" s="67"/>
      <c r="C63" s="15"/>
      <c r="D63" s="183"/>
      <c r="E63" s="35"/>
      <c r="F63" s="21"/>
      <c r="G63" s="21"/>
      <c r="H63" s="66"/>
      <c r="I63" s="66"/>
      <c r="J63" s="311"/>
      <c r="K63" s="313"/>
      <c r="L63" s="247">
        <f>IF($D63="MWh/yr (LHV)",$E63,$J63*$E63/Conversion_kWh_to_MJ)</f>
        <v>0</v>
      </c>
      <c r="M63" s="19"/>
      <c r="N63" s="19"/>
      <c r="O63" s="19"/>
      <c r="P63" s="309"/>
      <c r="Q63" s="505"/>
      <c r="R63" s="309"/>
      <c r="S63" s="247" t="str">
        <f>IFERROR(IF(D63="tonnes/yr", $P63*$E63/($L$9*3.6), $Q63*$E63*3.6/($L$9*3.6)), "Unfilled fields to left")</f>
        <v>Unfilled fields to left</v>
      </c>
      <c r="U63" s="68"/>
    </row>
    <row r="64" spans="2:22" s="14" customFormat="1">
      <c r="B64" s="67"/>
      <c r="C64" s="15"/>
      <c r="D64" s="183"/>
      <c r="E64" s="35"/>
      <c r="F64" s="21"/>
      <c r="G64" s="21"/>
      <c r="H64" s="21"/>
      <c r="I64" s="21"/>
      <c r="J64" s="313"/>
      <c r="K64" s="313"/>
      <c r="L64" s="247">
        <f>IF($D64="MWh/yr (LHV)",$E64,$J64*$E64/Conversion_kWh_to_MJ)</f>
        <v>0</v>
      </c>
      <c r="M64" s="19"/>
      <c r="N64" s="19"/>
      <c r="O64" s="19"/>
      <c r="P64" s="315"/>
      <c r="Q64" s="505"/>
      <c r="R64" s="309"/>
      <c r="S64" s="247" t="str">
        <f>IFERROR(IF(D64="tonnes/yr", $P64*$E64/($L$9*3.6), $Q64*$E64*3.6/($L$9*3.6)), "Unfilled fields to left")</f>
        <v>Unfilled fields to left</v>
      </c>
      <c r="U64" s="68"/>
    </row>
    <row r="65" spans="2:22" s="14" customFormat="1">
      <c r="B65" s="67"/>
      <c r="C65" s="15"/>
      <c r="D65" s="183"/>
      <c r="E65" s="35"/>
      <c r="F65" s="21"/>
      <c r="G65" s="21"/>
      <c r="H65" s="21"/>
      <c r="I65" s="21"/>
      <c r="J65" s="313"/>
      <c r="K65" s="313"/>
      <c r="L65" s="247">
        <f>IF($D65="MWh/yr (LHV)",$E65,$J65*$E65/Conversion_kWh_to_MJ)</f>
        <v>0</v>
      </c>
      <c r="M65" s="19"/>
      <c r="N65" s="19"/>
      <c r="O65" s="19"/>
      <c r="P65" s="315"/>
      <c r="Q65" s="505"/>
      <c r="R65" s="309"/>
      <c r="S65" s="247" t="str">
        <f>IFERROR(IF(D65="tonnes/yr", $P65*$E65/($L$9*3.6), $Q65*$E65*3.6/($L$9*3.6)), "Unfilled fields to left")</f>
        <v>Unfilled fields to left</v>
      </c>
      <c r="U65" s="68"/>
    </row>
    <row r="66" spans="2:22" s="14" customFormat="1">
      <c r="B66" s="71"/>
      <c r="C66" s="72"/>
      <c r="D66" s="72"/>
      <c r="E66" s="146"/>
      <c r="F66" s="73"/>
      <c r="G66" s="73"/>
      <c r="H66" s="74"/>
      <c r="I66" s="74"/>
      <c r="J66" s="76"/>
      <c r="K66" s="76"/>
      <c r="L66" s="76"/>
      <c r="M66" s="12"/>
      <c r="N66" s="12"/>
      <c r="O66" s="12"/>
      <c r="P66" s="76"/>
      <c r="Q66" s="76"/>
      <c r="R66" s="76"/>
      <c r="S66" s="76"/>
      <c r="U66" s="73"/>
    </row>
    <row r="67" spans="2:22" s="14" customFormat="1" ht="15.6">
      <c r="B67" s="149" t="s">
        <v>93</v>
      </c>
      <c r="C67" s="158"/>
      <c r="D67" s="158"/>
      <c r="E67" s="533"/>
      <c r="F67" s="159"/>
      <c r="G67" s="159"/>
      <c r="H67" s="160"/>
      <c r="I67" s="161"/>
      <c r="J67" s="312"/>
      <c r="K67" s="504"/>
      <c r="L67" s="504"/>
      <c r="M67" s="162"/>
      <c r="N67" s="162"/>
      <c r="O67" s="162"/>
      <c r="P67" s="312"/>
      <c r="Q67" s="504"/>
      <c r="R67" s="504"/>
      <c r="S67" s="157">
        <f>SUM(S68:S75)</f>
        <v>0</v>
      </c>
      <c r="U67" s="73"/>
    </row>
    <row r="68" spans="2:22" s="14" customFormat="1">
      <c r="B68" s="16" t="s">
        <v>618</v>
      </c>
      <c r="C68" s="188" t="s">
        <v>823</v>
      </c>
      <c r="D68" s="183" t="s">
        <v>582</v>
      </c>
      <c r="E68" s="35"/>
      <c r="F68" s="21"/>
      <c r="G68" s="21"/>
      <c r="H68" s="21"/>
      <c r="I68" s="21"/>
      <c r="J68" s="313"/>
      <c r="K68" s="313"/>
      <c r="L68" s="247">
        <f t="shared" ref="L68:L75" si="15">IF($D68="MWh/yr (LHV)",$E68,$J68*$E68/Conversion_kWh_to_MJ)</f>
        <v>0</v>
      </c>
      <c r="M68" s="12"/>
      <c r="N68" s="12"/>
      <c r="O68" s="12"/>
      <c r="P68" s="35">
        <v>28000</v>
      </c>
      <c r="Q68" s="546"/>
      <c r="R68" s="35" t="s">
        <v>651</v>
      </c>
      <c r="S68" s="247" t="str">
        <f t="shared" ref="S68:S75" si="16">IFERROR(IF(D68="tonnes/yr", $P68*$E68/($L$9*3.6), $Q68*$E68*3.6/($L$9*3.6)), "Unfilled fields to left")</f>
        <v>Unfilled fields to left</v>
      </c>
      <c r="U68" s="21"/>
    </row>
    <row r="69" spans="2:22" s="14" customFormat="1">
      <c r="B69" s="67" t="s">
        <v>619</v>
      </c>
      <c r="C69" s="188" t="s">
        <v>824</v>
      </c>
      <c r="D69" s="183" t="s">
        <v>582</v>
      </c>
      <c r="E69" s="35"/>
      <c r="F69" s="68"/>
      <c r="G69" s="68"/>
      <c r="H69" s="69"/>
      <c r="I69" s="69"/>
      <c r="J69" s="315"/>
      <c r="K69" s="315"/>
      <c r="L69" s="247">
        <f t="shared" si="15"/>
        <v>0</v>
      </c>
      <c r="M69" s="19"/>
      <c r="N69" s="19"/>
      <c r="O69" s="19"/>
      <c r="P69" s="35">
        <v>265000</v>
      </c>
      <c r="Q69" s="546"/>
      <c r="R69" s="511" t="s">
        <v>651</v>
      </c>
      <c r="S69" s="247" t="str">
        <f t="shared" si="16"/>
        <v>Unfilled fields to left</v>
      </c>
      <c r="U69" s="68"/>
    </row>
    <row r="70" spans="2:22" s="14" customFormat="1">
      <c r="B70" s="67" t="s">
        <v>620</v>
      </c>
      <c r="C70" s="188" t="s">
        <v>825</v>
      </c>
      <c r="D70" s="183" t="s">
        <v>582</v>
      </c>
      <c r="E70" s="35"/>
      <c r="F70" s="68"/>
      <c r="G70" s="68"/>
      <c r="H70" s="69"/>
      <c r="I70" s="69"/>
      <c r="J70" s="315"/>
      <c r="K70" s="315"/>
      <c r="L70" s="247">
        <f t="shared" si="15"/>
        <v>0</v>
      </c>
      <c r="M70" s="19"/>
      <c r="N70" s="19"/>
      <c r="O70" s="19"/>
      <c r="P70" s="35">
        <v>23500000</v>
      </c>
      <c r="Q70" s="546"/>
      <c r="R70" s="511" t="s">
        <v>651</v>
      </c>
      <c r="S70" s="247" t="str">
        <f t="shared" si="16"/>
        <v>Unfilled fields to left</v>
      </c>
      <c r="U70" s="68"/>
    </row>
    <row r="71" spans="2:22" s="14" customFormat="1">
      <c r="B71" s="67" t="s">
        <v>621</v>
      </c>
      <c r="C71" s="188" t="s">
        <v>826</v>
      </c>
      <c r="D71" s="183" t="s">
        <v>582</v>
      </c>
      <c r="E71" s="35"/>
      <c r="F71" s="68"/>
      <c r="G71" s="68"/>
      <c r="H71" s="69"/>
      <c r="I71" s="69"/>
      <c r="J71" s="315"/>
      <c r="K71" s="315"/>
      <c r="L71" s="247">
        <f t="shared" si="15"/>
        <v>0</v>
      </c>
      <c r="M71" s="19"/>
      <c r="N71" s="19"/>
      <c r="O71" s="19"/>
      <c r="P71" s="547" t="s">
        <v>622</v>
      </c>
      <c r="Q71" s="546"/>
      <c r="R71" s="511"/>
      <c r="S71" s="247" t="str">
        <f t="shared" si="16"/>
        <v>Unfilled fields to left</v>
      </c>
      <c r="U71" s="68"/>
    </row>
    <row r="72" spans="2:22" s="14" customFormat="1">
      <c r="B72" s="67" t="s">
        <v>621</v>
      </c>
      <c r="C72" s="188" t="s">
        <v>826</v>
      </c>
      <c r="D72" s="183" t="s">
        <v>582</v>
      </c>
      <c r="E72" s="35"/>
      <c r="F72" s="68"/>
      <c r="G72" s="68"/>
      <c r="H72" s="69"/>
      <c r="I72" s="69"/>
      <c r="J72" s="315"/>
      <c r="K72" s="315"/>
      <c r="L72" s="247">
        <f t="shared" si="15"/>
        <v>0</v>
      </c>
      <c r="M72" s="19"/>
      <c r="N72" s="19"/>
      <c r="O72" s="19"/>
      <c r="P72" s="547" t="s">
        <v>622</v>
      </c>
      <c r="Q72" s="546"/>
      <c r="R72" s="511"/>
      <c r="S72" s="247" t="str">
        <f t="shared" si="16"/>
        <v>Unfilled fields to left</v>
      </c>
      <c r="U72" s="68"/>
    </row>
    <row r="73" spans="2:22" s="14" customFormat="1">
      <c r="B73" s="67" t="s">
        <v>621</v>
      </c>
      <c r="C73" s="188" t="s">
        <v>826</v>
      </c>
      <c r="D73" s="183" t="s">
        <v>582</v>
      </c>
      <c r="E73" s="35"/>
      <c r="F73" s="68"/>
      <c r="G73" s="68"/>
      <c r="H73" s="69"/>
      <c r="I73" s="69"/>
      <c r="J73" s="315"/>
      <c r="K73" s="315"/>
      <c r="L73" s="247">
        <f t="shared" si="15"/>
        <v>0</v>
      </c>
      <c r="M73" s="19"/>
      <c r="N73" s="19"/>
      <c r="O73" s="19"/>
      <c r="P73" s="547" t="s">
        <v>622</v>
      </c>
      <c r="Q73" s="546"/>
      <c r="R73" s="511"/>
      <c r="S73" s="247" t="str">
        <f t="shared" si="16"/>
        <v>Unfilled fields to left</v>
      </c>
      <c r="U73" s="68"/>
    </row>
    <row r="74" spans="2:22" s="14" customFormat="1">
      <c r="B74" s="67"/>
      <c r="C74" s="15"/>
      <c r="D74" s="184"/>
      <c r="E74" s="528"/>
      <c r="F74" s="68"/>
      <c r="G74" s="68"/>
      <c r="H74" s="69"/>
      <c r="I74" s="69"/>
      <c r="J74" s="315"/>
      <c r="K74" s="315"/>
      <c r="L74" s="247">
        <f t="shared" si="15"/>
        <v>0</v>
      </c>
      <c r="M74" s="19"/>
      <c r="N74" s="19"/>
      <c r="O74" s="19"/>
      <c r="P74" s="548"/>
      <c r="Q74" s="505"/>
      <c r="R74" s="315"/>
      <c r="S74" s="247" t="str">
        <f t="shared" si="16"/>
        <v>Unfilled fields to left</v>
      </c>
      <c r="U74" s="68"/>
    </row>
    <row r="75" spans="2:22" s="14" customFormat="1">
      <c r="B75" s="67"/>
      <c r="C75" s="15"/>
      <c r="D75" s="184"/>
      <c r="E75" s="528"/>
      <c r="F75" s="68"/>
      <c r="G75" s="68"/>
      <c r="H75" s="69"/>
      <c r="I75" s="69"/>
      <c r="J75" s="315"/>
      <c r="K75" s="315"/>
      <c r="L75" s="247">
        <f t="shared" si="15"/>
        <v>0</v>
      </c>
      <c r="M75" s="19"/>
      <c r="N75" s="19"/>
      <c r="O75" s="19"/>
      <c r="P75" s="548"/>
      <c r="Q75" s="505"/>
      <c r="R75" s="315"/>
      <c r="S75" s="247" t="str">
        <f t="shared" si="16"/>
        <v>Unfilled fields to left</v>
      </c>
      <c r="U75" s="68"/>
    </row>
    <row r="76" spans="2:22">
      <c r="C76" s="17"/>
      <c r="D76" s="17"/>
      <c r="E76" s="144"/>
      <c r="F76" s="17"/>
      <c r="H76" s="18"/>
      <c r="I76" s="18"/>
      <c r="J76" s="40"/>
      <c r="K76" s="40"/>
      <c r="L76" s="40"/>
      <c r="M76" s="12"/>
      <c r="P76" s="40"/>
      <c r="Q76" s="40"/>
      <c r="R76" s="40"/>
      <c r="S76" s="40"/>
      <c r="V76" s="12"/>
    </row>
    <row r="77" spans="2:22">
      <c r="E77" s="117"/>
      <c r="I77" s="12"/>
      <c r="J77" s="110"/>
      <c r="K77" s="110"/>
      <c r="L77" s="110"/>
      <c r="M77" s="12"/>
      <c r="P77" s="39"/>
      <c r="Q77" s="39"/>
      <c r="R77" s="38" t="s">
        <v>641</v>
      </c>
      <c r="S77" s="157">
        <f>IF(OR(COUNTIF(Initial_questions!$E$95,"Default"), COUNTIF(Initial_questions!$E$97:$E$98,"Default")),"Default data selected",SUM(S20,S33,S45,S52,S60,S67))</f>
        <v>0</v>
      </c>
      <c r="V77" s="12"/>
    </row>
    <row r="78" spans="2:22">
      <c r="B78" s="149" t="s">
        <v>94</v>
      </c>
      <c r="C78" s="163"/>
      <c r="D78" s="163"/>
      <c r="E78" s="527"/>
      <c r="I78" s="12"/>
      <c r="J78" s="110"/>
      <c r="K78" s="110"/>
      <c r="L78" s="110"/>
      <c r="M78" s="12"/>
      <c r="P78" s="110"/>
      <c r="Q78" s="110"/>
      <c r="R78" s="110"/>
      <c r="S78" s="12"/>
      <c r="V78" s="12"/>
    </row>
    <row r="79" spans="2:22">
      <c r="B79" s="16" t="s">
        <v>626</v>
      </c>
      <c r="C79" s="15" t="s">
        <v>627</v>
      </c>
      <c r="D79" s="15" t="s">
        <v>628</v>
      </c>
      <c r="E79" s="529"/>
      <c r="I79" s="12"/>
      <c r="J79" s="110"/>
      <c r="K79" s="110"/>
      <c r="L79" s="110"/>
      <c r="M79" s="12"/>
      <c r="P79" s="110"/>
      <c r="Q79" s="110"/>
      <c r="R79" s="110"/>
      <c r="S79" s="12"/>
      <c r="U79" s="25"/>
      <c r="V79" s="12"/>
    </row>
    <row r="80" spans="2:22">
      <c r="B80" s="16" t="s">
        <v>642</v>
      </c>
      <c r="C80" s="15" t="s">
        <v>652</v>
      </c>
      <c r="D80" s="15" t="s">
        <v>497</v>
      </c>
      <c r="E80" s="539">
        <f>Initial_questions!$E$85</f>
        <v>0</v>
      </c>
      <c r="G80" s="19"/>
      <c r="H80" s="12"/>
      <c r="I80" s="12"/>
      <c r="J80" s="110"/>
      <c r="K80" s="110"/>
      <c r="L80" s="110"/>
      <c r="M80" s="12"/>
      <c r="P80" s="110"/>
      <c r="Q80" s="110"/>
      <c r="R80" s="110"/>
      <c r="S80" s="12"/>
      <c r="U80" s="25"/>
      <c r="V80" s="12"/>
    </row>
    <row r="81" spans="2:22">
      <c r="B81" s="16" t="s">
        <v>654</v>
      </c>
      <c r="C81" s="15" t="s">
        <v>655</v>
      </c>
      <c r="D81" s="15" t="s">
        <v>497</v>
      </c>
      <c r="E81" s="539"/>
      <c r="H81" s="12"/>
      <c r="I81" s="12"/>
      <c r="J81" s="110"/>
      <c r="K81" s="110"/>
      <c r="L81" s="110"/>
      <c r="M81" s="12"/>
      <c r="P81" s="110"/>
      <c r="Q81" s="110"/>
      <c r="R81" s="110"/>
      <c r="S81" s="12"/>
      <c r="U81" s="25"/>
      <c r="V81" s="12"/>
    </row>
    <row r="82" spans="2:22">
      <c r="B82" s="16"/>
      <c r="C82" s="15"/>
      <c r="D82" s="15"/>
      <c r="E82" s="529"/>
      <c r="H82" s="12"/>
      <c r="I82" s="12"/>
      <c r="J82" s="110"/>
      <c r="K82" s="110"/>
      <c r="L82" s="110"/>
      <c r="M82" s="12"/>
      <c r="P82" s="39"/>
      <c r="Q82" s="39"/>
      <c r="R82" s="39"/>
      <c r="U82" s="25"/>
    </row>
    <row r="83" spans="2:22">
      <c r="E83" s="117"/>
      <c r="H83" s="12"/>
      <c r="I83" s="12"/>
      <c r="J83" s="110"/>
      <c r="K83" s="110"/>
      <c r="L83" s="110"/>
      <c r="M83" s="12"/>
      <c r="P83" s="39"/>
      <c r="Q83" s="39"/>
      <c r="R83" s="39"/>
    </row>
    <row r="84" spans="2:22">
      <c r="E84" s="117"/>
      <c r="J84" s="39"/>
      <c r="K84" s="39"/>
      <c r="P84" s="39"/>
      <c r="Q84" s="39"/>
      <c r="R84" s="39"/>
    </row>
    <row r="85" spans="2:22">
      <c r="E85" s="117"/>
      <c r="J85" s="39"/>
      <c r="K85" s="39"/>
      <c r="P85" s="39"/>
      <c r="Q85" s="39"/>
      <c r="R85" s="39"/>
    </row>
    <row r="86" spans="2:22">
      <c r="E86" s="117"/>
      <c r="J86" s="39"/>
      <c r="K86" s="39"/>
      <c r="P86" s="39"/>
      <c r="Q86" s="39"/>
      <c r="R86" s="39"/>
    </row>
    <row r="87" spans="2:22">
      <c r="E87" s="117"/>
      <c r="J87" s="39"/>
      <c r="K87" s="39"/>
      <c r="P87" s="39"/>
      <c r="Q87" s="39"/>
      <c r="R87" s="39"/>
    </row>
    <row r="88" spans="2:22">
      <c r="E88" s="117"/>
      <c r="J88" s="39"/>
      <c r="K88" s="39"/>
      <c r="P88" s="39"/>
      <c r="Q88" s="39"/>
      <c r="R88" s="39"/>
    </row>
    <row r="89" spans="2:22">
      <c r="E89" s="117"/>
      <c r="J89" s="39"/>
      <c r="K89" s="39"/>
      <c r="P89" s="39"/>
      <c r="Q89" s="39"/>
      <c r="R89" s="39"/>
    </row>
    <row r="90" spans="2:22">
      <c r="E90" s="117"/>
      <c r="J90" s="39"/>
      <c r="K90" s="39"/>
      <c r="P90" s="39"/>
      <c r="Q90" s="39"/>
      <c r="R90" s="39"/>
    </row>
    <row r="91" spans="2:22">
      <c r="E91" s="117"/>
      <c r="J91" s="39"/>
      <c r="K91" s="39"/>
      <c r="P91" s="39"/>
      <c r="Q91" s="39"/>
      <c r="R91" s="39"/>
    </row>
    <row r="92" spans="2:22">
      <c r="E92" s="117"/>
      <c r="J92" s="39"/>
      <c r="K92" s="39"/>
      <c r="P92" s="39"/>
      <c r="Q92" s="39"/>
      <c r="R92" s="39"/>
    </row>
    <row r="93" spans="2:22">
      <c r="E93" s="117"/>
      <c r="J93" s="39"/>
      <c r="K93" s="39"/>
      <c r="P93" s="39"/>
      <c r="Q93" s="39"/>
      <c r="R93" s="39"/>
    </row>
    <row r="94" spans="2:22">
      <c r="E94" s="117"/>
      <c r="J94" s="39"/>
      <c r="K94" s="39"/>
      <c r="P94" s="39"/>
      <c r="Q94" s="39"/>
      <c r="R94" s="39"/>
    </row>
    <row r="95" spans="2:22">
      <c r="E95" s="117"/>
      <c r="J95" s="39"/>
      <c r="K95" s="39"/>
      <c r="P95" s="39"/>
      <c r="Q95" s="39"/>
      <c r="R95" s="39"/>
    </row>
    <row r="96" spans="2:22">
      <c r="E96" s="117"/>
      <c r="J96" s="39"/>
      <c r="K96" s="39"/>
      <c r="P96" s="39"/>
      <c r="Q96" s="39"/>
      <c r="R96" s="39"/>
    </row>
    <row r="97" spans="5:18">
      <c r="E97" s="117"/>
      <c r="J97" s="39"/>
      <c r="K97" s="39"/>
      <c r="P97" s="39"/>
      <c r="Q97" s="39"/>
      <c r="R97" s="39"/>
    </row>
    <row r="98" spans="5:18">
      <c r="E98" s="117"/>
      <c r="J98" s="39"/>
      <c r="K98" s="39"/>
      <c r="P98" s="39"/>
      <c r="Q98" s="39"/>
      <c r="R98" s="39"/>
    </row>
    <row r="99" spans="5:18">
      <c r="E99" s="117"/>
      <c r="J99" s="39"/>
      <c r="K99" s="39"/>
      <c r="P99" s="39"/>
      <c r="Q99" s="39"/>
      <c r="R99" s="39"/>
    </row>
    <row r="100" spans="5:18">
      <c r="E100" s="117"/>
      <c r="J100" s="39"/>
      <c r="K100" s="39"/>
      <c r="P100" s="39"/>
      <c r="Q100" s="39"/>
      <c r="R100" s="39"/>
    </row>
    <row r="101" spans="5:18">
      <c r="E101" s="117"/>
      <c r="J101" s="39"/>
      <c r="K101" s="39"/>
      <c r="P101" s="39"/>
      <c r="Q101" s="39"/>
      <c r="R101" s="39"/>
    </row>
    <row r="102" spans="5:18">
      <c r="E102" s="117"/>
      <c r="J102" s="39"/>
      <c r="K102" s="39"/>
      <c r="P102" s="39"/>
      <c r="Q102" s="39"/>
      <c r="R102" s="39"/>
    </row>
    <row r="103" spans="5:18">
      <c r="E103" s="117"/>
      <c r="J103" s="39"/>
      <c r="K103" s="39"/>
      <c r="P103" s="39"/>
      <c r="Q103" s="39"/>
      <c r="R103" s="39"/>
    </row>
    <row r="104" spans="5:18">
      <c r="E104" s="117"/>
      <c r="J104" s="39"/>
      <c r="K104" s="39"/>
      <c r="P104" s="39"/>
      <c r="Q104" s="39"/>
      <c r="R104" s="39"/>
    </row>
    <row r="105" spans="5:18">
      <c r="E105" s="117"/>
      <c r="J105" s="39"/>
      <c r="K105" s="39"/>
      <c r="P105" s="39"/>
      <c r="Q105" s="39"/>
      <c r="R105" s="39"/>
    </row>
    <row r="106" spans="5:18">
      <c r="E106" s="117"/>
      <c r="J106" s="39"/>
      <c r="K106" s="39"/>
      <c r="P106" s="39"/>
      <c r="Q106" s="39"/>
      <c r="R106" s="39"/>
    </row>
    <row r="107" spans="5:18">
      <c r="E107" s="117"/>
      <c r="J107" s="39"/>
      <c r="K107" s="39"/>
      <c r="P107" s="39"/>
      <c r="Q107" s="39"/>
      <c r="R107" s="39"/>
    </row>
    <row r="108" spans="5:18">
      <c r="E108" s="117"/>
      <c r="J108" s="39"/>
      <c r="K108" s="39"/>
      <c r="P108" s="39"/>
      <c r="Q108" s="39"/>
      <c r="R108" s="39"/>
    </row>
    <row r="109" spans="5:18">
      <c r="E109" s="117"/>
      <c r="J109" s="39"/>
      <c r="K109" s="39"/>
      <c r="P109" s="39"/>
      <c r="Q109" s="39"/>
      <c r="R109" s="39"/>
    </row>
    <row r="110" spans="5:18">
      <c r="E110" s="117"/>
      <c r="J110" s="39"/>
      <c r="K110" s="39"/>
      <c r="P110" s="39"/>
      <c r="Q110" s="39"/>
      <c r="R110" s="39"/>
    </row>
    <row r="111" spans="5:18">
      <c r="E111" s="117"/>
      <c r="J111" s="39"/>
      <c r="K111" s="39"/>
      <c r="P111" s="39"/>
      <c r="Q111" s="39"/>
      <c r="R111" s="39"/>
    </row>
    <row r="112" spans="5:18">
      <c r="E112" s="117"/>
      <c r="J112" s="39"/>
      <c r="K112" s="39"/>
      <c r="P112" s="39"/>
      <c r="Q112" s="39"/>
      <c r="R112" s="39"/>
    </row>
    <row r="113" spans="5:18">
      <c r="E113" s="117"/>
      <c r="J113" s="39"/>
      <c r="K113" s="39"/>
      <c r="P113" s="39"/>
      <c r="Q113" s="39"/>
      <c r="R113" s="39"/>
    </row>
    <row r="114" spans="5:18">
      <c r="E114" s="117"/>
      <c r="J114" s="39"/>
      <c r="K114" s="39"/>
      <c r="P114" s="39"/>
      <c r="Q114" s="39"/>
      <c r="R114" s="39"/>
    </row>
    <row r="115" spans="5:18">
      <c r="E115" s="117"/>
      <c r="J115" s="39"/>
      <c r="K115" s="39"/>
      <c r="P115" s="39"/>
      <c r="Q115" s="39"/>
      <c r="R115" s="39"/>
    </row>
    <row r="116" spans="5:18">
      <c r="E116" s="117"/>
      <c r="J116" s="39"/>
      <c r="K116" s="39"/>
      <c r="P116" s="39"/>
      <c r="Q116" s="39"/>
      <c r="R116" s="39"/>
    </row>
    <row r="117" spans="5:18">
      <c r="E117" s="117"/>
      <c r="J117" s="39"/>
      <c r="K117" s="39"/>
      <c r="P117" s="39"/>
      <c r="Q117" s="39"/>
      <c r="R117" s="39"/>
    </row>
    <row r="118" spans="5:18">
      <c r="E118" s="117"/>
      <c r="J118" s="39"/>
      <c r="K118" s="39"/>
      <c r="P118" s="39"/>
      <c r="Q118" s="39"/>
      <c r="R118" s="39"/>
    </row>
    <row r="119" spans="5:18">
      <c r="E119" s="117"/>
      <c r="J119" s="39"/>
      <c r="K119" s="39"/>
      <c r="P119" s="39"/>
      <c r="Q119" s="39"/>
      <c r="R119" s="39"/>
    </row>
    <row r="120" spans="5:18">
      <c r="E120" s="117"/>
      <c r="J120" s="39"/>
      <c r="K120" s="39"/>
      <c r="P120" s="39"/>
      <c r="Q120" s="39"/>
      <c r="R120" s="39"/>
    </row>
    <row r="121" spans="5:18">
      <c r="E121" s="117"/>
      <c r="J121" s="39"/>
      <c r="K121" s="39"/>
      <c r="P121" s="39"/>
      <c r="Q121" s="39"/>
      <c r="R121" s="39"/>
    </row>
    <row r="122" spans="5:18">
      <c r="E122" s="117"/>
      <c r="J122" s="39"/>
      <c r="K122" s="39"/>
      <c r="P122" s="39"/>
      <c r="Q122" s="39"/>
      <c r="R122" s="39"/>
    </row>
    <row r="123" spans="5:18">
      <c r="E123" s="117"/>
      <c r="P123" s="39"/>
      <c r="Q123" s="39"/>
      <c r="R123" s="39"/>
    </row>
    <row r="124" spans="5:18">
      <c r="E124" s="117"/>
      <c r="P124" s="39"/>
      <c r="Q124" s="39"/>
      <c r="R124" s="39"/>
    </row>
    <row r="125" spans="5:18">
      <c r="E125" s="117"/>
      <c r="P125" s="39"/>
      <c r="Q125" s="39"/>
      <c r="R125" s="39"/>
    </row>
    <row r="126" spans="5:18">
      <c r="E126" s="117"/>
      <c r="P126" s="39"/>
      <c r="Q126" s="39"/>
      <c r="R126" s="39"/>
    </row>
    <row r="127" spans="5:18">
      <c r="E127" s="117"/>
      <c r="P127" s="39"/>
      <c r="Q127" s="39"/>
      <c r="R127" s="39"/>
    </row>
    <row r="128" spans="5:18">
      <c r="E128" s="117"/>
      <c r="P128" s="39"/>
      <c r="Q128" s="39"/>
      <c r="R128" s="39"/>
    </row>
    <row r="129" spans="5:18">
      <c r="E129" s="117"/>
      <c r="P129" s="39"/>
      <c r="Q129" s="39"/>
      <c r="R129" s="39"/>
    </row>
    <row r="130" spans="5:18">
      <c r="E130" s="117"/>
      <c r="P130" s="39"/>
      <c r="Q130" s="39"/>
      <c r="R130" s="39"/>
    </row>
    <row r="131" spans="5:18">
      <c r="E131" s="117"/>
      <c r="P131" s="39"/>
      <c r="Q131" s="39"/>
      <c r="R131" s="39"/>
    </row>
    <row r="132" spans="5:18">
      <c r="E132" s="117"/>
      <c r="P132" s="39"/>
      <c r="Q132" s="39"/>
      <c r="R132" s="39"/>
    </row>
    <row r="133" spans="5:18">
      <c r="E133" s="117"/>
      <c r="P133" s="39"/>
      <c r="Q133" s="39"/>
      <c r="R133" s="39"/>
    </row>
    <row r="134" spans="5:18">
      <c r="E134" s="117"/>
      <c r="P134" s="39"/>
      <c r="Q134" s="39"/>
      <c r="R134" s="39"/>
    </row>
    <row r="135" spans="5:18">
      <c r="E135" s="117"/>
      <c r="P135" s="39"/>
      <c r="Q135" s="39"/>
      <c r="R135" s="39"/>
    </row>
    <row r="136" spans="5:18">
      <c r="E136" s="117"/>
      <c r="P136" s="39"/>
      <c r="Q136" s="39"/>
      <c r="R136" s="39"/>
    </row>
    <row r="137" spans="5:18">
      <c r="E137" s="117"/>
      <c r="P137" s="39"/>
      <c r="Q137" s="39"/>
      <c r="R137" s="39"/>
    </row>
    <row r="138" spans="5:18">
      <c r="E138" s="117"/>
      <c r="P138" s="39"/>
      <c r="Q138" s="39"/>
      <c r="R138" s="39"/>
    </row>
    <row r="139" spans="5:18">
      <c r="E139" s="117"/>
      <c r="P139" s="39"/>
      <c r="Q139" s="39"/>
      <c r="R139" s="39"/>
    </row>
    <row r="140" spans="5:18">
      <c r="E140" s="117"/>
      <c r="P140" s="39"/>
      <c r="Q140" s="39"/>
      <c r="R140" s="39"/>
    </row>
    <row r="141" spans="5:18">
      <c r="E141" s="117"/>
      <c r="P141" s="39"/>
      <c r="Q141" s="39"/>
      <c r="R141" s="39"/>
    </row>
    <row r="142" spans="5:18">
      <c r="E142" s="117"/>
      <c r="P142" s="39"/>
      <c r="Q142" s="39"/>
      <c r="R142" s="39"/>
    </row>
    <row r="143" spans="5:18">
      <c r="E143" s="117"/>
      <c r="P143" s="39"/>
      <c r="Q143" s="39"/>
      <c r="R143" s="39"/>
    </row>
    <row r="144" spans="5:18">
      <c r="E144" s="117"/>
      <c r="P144" s="39"/>
      <c r="Q144" s="39"/>
      <c r="R144" s="39"/>
    </row>
    <row r="145" spans="5:18">
      <c r="E145" s="117"/>
      <c r="P145" s="39"/>
      <c r="Q145" s="39"/>
      <c r="R145" s="39"/>
    </row>
    <row r="146" spans="5:18">
      <c r="E146" s="117"/>
      <c r="P146" s="39"/>
      <c r="Q146" s="39"/>
      <c r="R146" s="39"/>
    </row>
    <row r="147" spans="5:18">
      <c r="E147" s="117"/>
      <c r="P147" s="39"/>
      <c r="Q147" s="39"/>
      <c r="R147" s="39"/>
    </row>
    <row r="148" spans="5:18">
      <c r="E148" s="262"/>
      <c r="P148" s="39"/>
      <c r="Q148" s="39"/>
      <c r="R148" s="39"/>
    </row>
    <row r="149" spans="5:18">
      <c r="E149" s="262"/>
      <c r="P149" s="39"/>
      <c r="Q149" s="39"/>
      <c r="R149" s="39"/>
    </row>
    <row r="150" spans="5:18">
      <c r="E150" s="262"/>
      <c r="P150" s="39"/>
      <c r="Q150" s="39"/>
      <c r="R150" s="39"/>
    </row>
    <row r="151" spans="5:18">
      <c r="E151" s="262"/>
      <c r="P151" s="39"/>
      <c r="Q151" s="39"/>
      <c r="R151" s="39"/>
    </row>
    <row r="152" spans="5:18">
      <c r="E152" s="262"/>
      <c r="P152" s="39"/>
      <c r="Q152" s="39"/>
      <c r="R152" s="39"/>
    </row>
    <row r="153" spans="5:18">
      <c r="E153" s="262"/>
      <c r="P153" s="39"/>
      <c r="Q153" s="39"/>
      <c r="R153" s="39"/>
    </row>
    <row r="154" spans="5:18">
      <c r="E154" s="262"/>
      <c r="P154" s="39"/>
      <c r="Q154" s="39"/>
      <c r="R154" s="39"/>
    </row>
    <row r="155" spans="5:18">
      <c r="E155" s="262"/>
      <c r="P155" s="39"/>
      <c r="Q155" s="39"/>
      <c r="R155" s="39"/>
    </row>
    <row r="156" spans="5:18">
      <c r="E156" s="262"/>
      <c r="P156" s="39"/>
      <c r="Q156" s="39"/>
      <c r="R156" s="39"/>
    </row>
    <row r="157" spans="5:18">
      <c r="E157" s="262"/>
      <c r="P157" s="39"/>
      <c r="Q157" s="39"/>
      <c r="R157" s="39"/>
    </row>
    <row r="158" spans="5:18">
      <c r="E158" s="262"/>
      <c r="P158" s="39"/>
      <c r="Q158" s="39"/>
      <c r="R158" s="39"/>
    </row>
    <row r="159" spans="5:18">
      <c r="E159" s="262"/>
      <c r="P159" s="39"/>
      <c r="Q159" s="39"/>
      <c r="R159" s="39"/>
    </row>
    <row r="160" spans="5:18">
      <c r="E160" s="262"/>
      <c r="P160" s="39"/>
      <c r="Q160" s="39"/>
      <c r="R160" s="39"/>
    </row>
    <row r="161" spans="5:18">
      <c r="E161" s="262"/>
      <c r="P161" s="39"/>
      <c r="Q161" s="39"/>
      <c r="R161" s="39"/>
    </row>
    <row r="162" spans="5:18">
      <c r="E162" s="262"/>
      <c r="P162" s="39"/>
      <c r="Q162" s="39"/>
      <c r="R162" s="39"/>
    </row>
    <row r="163" spans="5:18">
      <c r="E163" s="262"/>
      <c r="P163" s="39"/>
      <c r="Q163" s="39"/>
      <c r="R163" s="39"/>
    </row>
    <row r="164" spans="5:18">
      <c r="E164" s="262"/>
      <c r="P164" s="39"/>
      <c r="Q164" s="39"/>
      <c r="R164" s="39"/>
    </row>
    <row r="165" spans="5:18">
      <c r="E165" s="262"/>
      <c r="P165" s="39"/>
      <c r="Q165" s="39"/>
      <c r="R165" s="39"/>
    </row>
    <row r="166" spans="5:18">
      <c r="E166" s="262"/>
      <c r="P166" s="39"/>
      <c r="Q166" s="39"/>
      <c r="R166" s="39"/>
    </row>
    <row r="167" spans="5:18">
      <c r="E167" s="262"/>
      <c r="P167" s="39"/>
      <c r="Q167" s="39"/>
      <c r="R167" s="39"/>
    </row>
    <row r="168" spans="5:18">
      <c r="E168" s="262"/>
      <c r="P168" s="39"/>
      <c r="Q168" s="39"/>
      <c r="R168" s="39"/>
    </row>
    <row r="169" spans="5:18">
      <c r="E169" s="262"/>
      <c r="P169" s="39"/>
      <c r="Q169" s="39"/>
      <c r="R169" s="39"/>
    </row>
    <row r="170" spans="5:18">
      <c r="E170" s="262"/>
      <c r="P170" s="39"/>
      <c r="Q170" s="39"/>
      <c r="R170" s="39"/>
    </row>
    <row r="171" spans="5:18">
      <c r="E171" s="262"/>
      <c r="P171" s="39"/>
      <c r="Q171" s="39"/>
      <c r="R171" s="39"/>
    </row>
    <row r="172" spans="5:18">
      <c r="E172" s="262"/>
      <c r="P172" s="39"/>
      <c r="Q172" s="39"/>
      <c r="R172" s="39"/>
    </row>
    <row r="173" spans="5:18">
      <c r="E173" s="262"/>
      <c r="P173" s="39"/>
      <c r="Q173" s="39"/>
      <c r="R173" s="39"/>
    </row>
    <row r="174" spans="5:18">
      <c r="E174" s="262"/>
      <c r="P174" s="39"/>
      <c r="Q174" s="39"/>
      <c r="R174" s="39"/>
    </row>
    <row r="175" spans="5:18">
      <c r="E175" s="262"/>
      <c r="P175" s="39"/>
      <c r="Q175" s="39"/>
      <c r="R175" s="39"/>
    </row>
    <row r="176" spans="5:18">
      <c r="E176" s="262"/>
      <c r="P176" s="39"/>
      <c r="Q176" s="39"/>
      <c r="R176" s="39"/>
    </row>
    <row r="177" spans="5:18">
      <c r="E177" s="262"/>
      <c r="P177" s="39"/>
      <c r="Q177" s="39"/>
      <c r="R177" s="39"/>
    </row>
    <row r="178" spans="5:18">
      <c r="E178" s="262"/>
      <c r="P178" s="39"/>
      <c r="Q178" s="39"/>
      <c r="R178" s="39"/>
    </row>
    <row r="179" spans="5:18">
      <c r="E179" s="262"/>
      <c r="P179" s="39"/>
      <c r="Q179" s="39"/>
      <c r="R179" s="39"/>
    </row>
    <row r="180" spans="5:18">
      <c r="E180" s="262"/>
      <c r="P180" s="39"/>
      <c r="Q180" s="39"/>
      <c r="R180" s="39"/>
    </row>
    <row r="181" spans="5:18">
      <c r="E181" s="262"/>
      <c r="P181" s="39"/>
      <c r="Q181" s="39"/>
      <c r="R181" s="39"/>
    </row>
    <row r="182" spans="5:18">
      <c r="E182" s="262"/>
      <c r="P182" s="39"/>
      <c r="Q182" s="39"/>
      <c r="R182" s="39"/>
    </row>
    <row r="183" spans="5:18">
      <c r="E183" s="262"/>
      <c r="P183" s="39"/>
      <c r="Q183" s="39"/>
      <c r="R183" s="39"/>
    </row>
    <row r="184" spans="5:18">
      <c r="E184" s="262"/>
      <c r="P184" s="39"/>
      <c r="Q184" s="39"/>
      <c r="R184" s="39"/>
    </row>
    <row r="185" spans="5:18">
      <c r="E185" s="262"/>
      <c r="P185" s="39"/>
      <c r="Q185" s="39"/>
      <c r="R185" s="39"/>
    </row>
    <row r="186" spans="5:18">
      <c r="E186" s="262"/>
      <c r="P186" s="39"/>
      <c r="Q186" s="39"/>
      <c r="R186" s="39"/>
    </row>
    <row r="187" spans="5:18">
      <c r="E187" s="262"/>
      <c r="P187" s="39"/>
      <c r="Q187" s="39"/>
      <c r="R187" s="39"/>
    </row>
    <row r="188" spans="5:18">
      <c r="E188" s="262"/>
      <c r="P188" s="39"/>
      <c r="Q188" s="39"/>
      <c r="R188" s="39"/>
    </row>
    <row r="189" spans="5:18">
      <c r="E189" s="262"/>
      <c r="P189" s="39"/>
      <c r="Q189" s="39"/>
      <c r="R189" s="39"/>
    </row>
    <row r="190" spans="5:18">
      <c r="E190" s="262"/>
    </row>
    <row r="191" spans="5:18">
      <c r="E191" s="262"/>
    </row>
    <row r="192" spans="5:18">
      <c r="E192" s="262"/>
    </row>
    <row r="193" spans="5:5">
      <c r="E193" s="262"/>
    </row>
    <row r="194" spans="5:5">
      <c r="E194" s="262"/>
    </row>
    <row r="195" spans="5:5">
      <c r="E195" s="262"/>
    </row>
    <row r="196" spans="5:5">
      <c r="E196" s="262"/>
    </row>
    <row r="197" spans="5:5">
      <c r="E197" s="262"/>
    </row>
    <row r="198" spans="5:5">
      <c r="E198" s="262"/>
    </row>
    <row r="199" spans="5:5">
      <c r="E199" s="262"/>
    </row>
    <row r="200" spans="5:5">
      <c r="E200" s="262"/>
    </row>
    <row r="201" spans="5:5">
      <c r="E201" s="262"/>
    </row>
    <row r="202" spans="5:5">
      <c r="E202" s="262"/>
    </row>
    <row r="203" spans="5:5">
      <c r="E203" s="262"/>
    </row>
    <row r="204" spans="5:5">
      <c r="E204" s="262"/>
    </row>
    <row r="205" spans="5:5">
      <c r="E205" s="262"/>
    </row>
    <row r="206" spans="5:5">
      <c r="E206" s="262"/>
    </row>
    <row r="207" spans="5:5">
      <c r="E207" s="262"/>
    </row>
    <row r="208" spans="5:5">
      <c r="E208" s="262"/>
    </row>
    <row r="209" spans="5:5">
      <c r="E209" s="262"/>
    </row>
    <row r="210" spans="5:5">
      <c r="E210" s="262"/>
    </row>
    <row r="211" spans="5:5">
      <c r="E211" s="262"/>
    </row>
    <row r="212" spans="5:5">
      <c r="E212" s="262"/>
    </row>
    <row r="213" spans="5:5">
      <c r="E213" s="262"/>
    </row>
    <row r="214" spans="5:5">
      <c r="E214" s="262"/>
    </row>
    <row r="215" spans="5:5">
      <c r="E215" s="262"/>
    </row>
    <row r="216" spans="5:5">
      <c r="E216" s="262"/>
    </row>
    <row r="217" spans="5:5">
      <c r="E217" s="262"/>
    </row>
    <row r="218" spans="5:5">
      <c r="E218" s="262"/>
    </row>
    <row r="219" spans="5:5">
      <c r="E219" s="262"/>
    </row>
    <row r="220" spans="5:5">
      <c r="E220" s="262"/>
    </row>
    <row r="221" spans="5:5">
      <c r="E221" s="262"/>
    </row>
    <row r="222" spans="5:5">
      <c r="E222" s="262"/>
    </row>
    <row r="223" spans="5:5">
      <c r="E223" s="262"/>
    </row>
    <row r="224" spans="5:5">
      <c r="E224" s="262"/>
    </row>
    <row r="225" spans="5:5">
      <c r="E225" s="262"/>
    </row>
    <row r="226" spans="5:5">
      <c r="E226" s="262"/>
    </row>
    <row r="227" spans="5:5">
      <c r="E227" s="262"/>
    </row>
    <row r="228" spans="5:5">
      <c r="E228" s="262"/>
    </row>
    <row r="229" spans="5:5">
      <c r="E229" s="262"/>
    </row>
    <row r="230" spans="5:5">
      <c r="E230" s="262"/>
    </row>
    <row r="231" spans="5:5">
      <c r="E231" s="262"/>
    </row>
    <row r="232" spans="5:5">
      <c r="E232" s="262"/>
    </row>
    <row r="233" spans="5:5">
      <c r="E233" s="262"/>
    </row>
    <row r="234" spans="5:5">
      <c r="E234" s="262"/>
    </row>
    <row r="235" spans="5:5">
      <c r="E235" s="262"/>
    </row>
    <row r="236" spans="5:5">
      <c r="E236" s="262"/>
    </row>
    <row r="237" spans="5:5">
      <c r="E237" s="262"/>
    </row>
    <row r="238" spans="5:5">
      <c r="E238" s="262"/>
    </row>
    <row r="239" spans="5:5">
      <c r="E239" s="262"/>
    </row>
    <row r="240" spans="5:5">
      <c r="E240" s="262"/>
    </row>
    <row r="241" spans="5:5">
      <c r="E241" s="262"/>
    </row>
    <row r="242" spans="5:5">
      <c r="E242" s="262"/>
    </row>
    <row r="243" spans="5:5">
      <c r="E243" s="262"/>
    </row>
    <row r="244" spans="5:5">
      <c r="E244" s="262"/>
    </row>
    <row r="245" spans="5:5">
      <c r="E245" s="262"/>
    </row>
    <row r="246" spans="5:5">
      <c r="E246" s="262"/>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34:D43 D53:D58 D68:D75 D46:D51 D61:D65 D21:D30 D8 D10:D17" xr:uid="{F7C261C2-F8EE-4682-9FB4-6E7BE9670080}">
      <formula1>Flow_units</formula1>
    </dataValidation>
    <dataValidation type="custom" allowBlank="1" showInputMessage="1" showErrorMessage="1" error="Please do not change this formula" prompt="Please do not change this formula" sqref="L1:L4 M4 T4 N6:O1048576 L5:S5 L6:L1048576 S1:S4 N1:O4 S78:S1048576 S6:S74 S75:S77" xr:uid="{03A18783-B640-4366-9577-A519B7EFF4B4}">
      <formula1>"Please do not change this formula"</formula1>
    </dataValidation>
  </dataValidations>
  <hyperlinks>
    <hyperlink ref="I2:J2" location="GHG_BIOMETHANE_REFORM!A1" display="Go to the summary tab of this pathway" xr:uid="{2D856E90-EBF0-490C-BF88-3621FA8EE73A}"/>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32" id="{C1C82C1E-8D09-4C07-B3D9-66467F0D47FC}">
            <xm:f>AND(Initial_questions!$E$21&lt;&gt;"Biomethane Steam Methane Reformer (SMR) with CCS",Initial_questions!$E$21&lt;&gt;"Biomethane Steam Methane Reformer (SMR) without CCS", Initial_questions!$E$21&lt;&gt;"Biomethane Autothermal Reformer (ATR) with CCS",Initial_questions!$E$21&lt;&gt;"Biomethane Autothermal Reformer (ATR)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37" id="{F43779FB-3418-432C-B4CB-9C0999CC129F}">
            <xm:f>AND(GHG_BIOMETHANE_REFORM!$D$9="Default",Master_Switch="On")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36" id="{7FDE2F77-C3D2-44A4-896C-A44E2D0C13B4}">
            <xm:f>AND(GHG_BIOMETHANE_REFORM!$D$10="Default",Master_Switch="On")</xm:f>
            <x14:dxf>
              <font>
                <color theme="0"/>
              </font>
              <fill>
                <patternFill>
                  <bgColor theme="0"/>
                </patternFill>
              </fill>
              <border>
                <left/>
                <right/>
                <top/>
                <bottom/>
              </border>
            </x14:dxf>
          </x14:cfRule>
          <xm:sqref>A34:XFD43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C95CF71-13ED-40BB-B998-64F4F3C512FF}">
          <x14:formula1>
            <xm:f>Units!$X$120</xm:f>
          </x14:formula1>
          <xm:sqref>D9</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37C87-1CC7-4868-9384-B48655036424}">
  <sheetPr codeName="Sheet47">
    <tabColor rgb="FFCCFF66"/>
  </sheetPr>
  <dimension ref="A1:Z190"/>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7.2187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IF(AND(Initial_questions!$E$21&lt;&gt;"Biomass Gasification with CCS",Initial_questions!$E$21&lt;&gt;"Biomass Gasification without CCS",Master_Switch="On"),"User should not fill in this sheet, but switch to other non-blank GHG worksheets","")</f>
        <v>User should not fill in this sheet, but switch to other non-blank GHG worksheets</v>
      </c>
      <c r="E1" s="262"/>
    </row>
    <row r="2" spans="1:26" ht="20.399999999999999" customHeight="1">
      <c r="B2" s="83" t="str">
        <f>IF(AND(Initial_questions!$E$62&lt;&gt;"Cereals and other starch-rich crops", Initial_questions!$E$62&lt;&gt;"Sugar crops", Initial_questions!$E$62&lt;&gt;"Oil crops", Initial_questions!$E$62&lt;&gt;"Other crop",Master_Switch="On"),"Not a purpose-grown feedstock, move to the next step of the pathway","")</f>
        <v>Not a purpose-grown feedstock, move to the next step of the pathway</v>
      </c>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90" t="s">
        <v>592</v>
      </c>
      <c r="C8" s="15"/>
      <c r="D8" s="183"/>
      <c r="E8" s="35"/>
      <c r="F8" s="24"/>
      <c r="G8" s="21"/>
      <c r="H8" s="20"/>
      <c r="I8" s="36"/>
      <c r="J8" s="307"/>
      <c r="K8" s="309"/>
      <c r="L8" s="247">
        <f t="shared" ref="L8:L17" si="0">IF($D8="MWh/yr (LHV)",$E8,$J8*$E8/Conversion_kWh_to_MJ)</f>
        <v>0</v>
      </c>
      <c r="M8" s="12"/>
      <c r="P8" s="309"/>
      <c r="Q8" s="307"/>
      <c r="R8" s="309"/>
      <c r="S8" s="247" t="str">
        <f t="shared" ref="S8:S17" si="1">IFERROR(IF(D8="tonnes/yr", $P8*$E8/($L$20*3.6), $Q8*$E8*3.6/($L$20*3.6)), "Unfilled fields to left")</f>
        <v>Unfilled fields to left</v>
      </c>
      <c r="U8" s="25"/>
      <c r="V8" s="12"/>
    </row>
    <row r="9" spans="1:26">
      <c r="B9" s="190" t="s">
        <v>592</v>
      </c>
      <c r="C9" s="188" t="s">
        <v>646</v>
      </c>
      <c r="D9" s="183" t="s">
        <v>747</v>
      </c>
      <c r="E9" s="35"/>
      <c r="F9" s="24"/>
      <c r="G9" s="21"/>
      <c r="H9" s="20"/>
      <c r="I9" s="36"/>
      <c r="J9" s="307"/>
      <c r="K9" s="309"/>
      <c r="L9" s="247">
        <f t="shared" si="0"/>
        <v>0</v>
      </c>
      <c r="M9" s="12"/>
      <c r="P9" s="35" t="str">
        <f>IF(B9="", "", IF(D9="MWh/yr (LHV)", "Use column to right", "Enter data here"))</f>
        <v>Use column to right</v>
      </c>
      <c r="Q9" s="35" t="e">
        <f>INDEX(Assumptions!$F$5:$AJ$5,1,MATCH(Initial_questions!$E$24,Assumptions!$F$4:$AJ$4,0))*1000/Conversion_kWh_to_MJ</f>
        <v>#N/A</v>
      </c>
      <c r="R9" s="35" t="s">
        <v>896</v>
      </c>
      <c r="S9" s="247" t="str">
        <f t="shared" si="1"/>
        <v>Unfilled fields to left</v>
      </c>
      <c r="U9" s="25"/>
      <c r="V9" s="12"/>
    </row>
    <row r="10" spans="1:26">
      <c r="B10" s="190" t="s">
        <v>599</v>
      </c>
      <c r="C10" s="188" t="s">
        <v>600</v>
      </c>
      <c r="D10" s="183" t="s">
        <v>582</v>
      </c>
      <c r="E10" s="35"/>
      <c r="F10" s="24"/>
      <c r="G10" s="21"/>
      <c r="H10" s="20"/>
      <c r="I10" s="36"/>
      <c r="J10" s="307"/>
      <c r="K10" s="309"/>
      <c r="L10" s="247">
        <f t="shared" si="0"/>
        <v>0</v>
      </c>
      <c r="M10" s="12"/>
      <c r="P10" s="35" t="str">
        <f t="shared" ref="P10" si="2">IF(B10="", "", IF(D10="MWh/yr (LHV)", "Use column to right", "Enter data here"))</f>
        <v>Enter data here</v>
      </c>
      <c r="Q10" s="35" t="str">
        <f t="shared" ref="Q10" si="3">IF(B10="", "", IF(D10="MWh/yr (LHV)", "Enter data here", "Use column to left"))</f>
        <v>Use column to left</v>
      </c>
      <c r="R10" s="35" t="s">
        <v>898</v>
      </c>
      <c r="S10" s="247" t="str">
        <f t="shared" si="1"/>
        <v>Unfilled fields to left</v>
      </c>
      <c r="T10" s="94"/>
      <c r="U10" s="25"/>
      <c r="V10" s="12"/>
    </row>
    <row r="11" spans="1:26">
      <c r="B11" s="190" t="s">
        <v>599</v>
      </c>
      <c r="C11" s="188" t="s">
        <v>601</v>
      </c>
      <c r="D11" s="183" t="s">
        <v>582</v>
      </c>
      <c r="E11" s="35"/>
      <c r="F11" s="21"/>
      <c r="G11" s="21"/>
      <c r="H11" s="20"/>
      <c r="I11" s="36"/>
      <c r="J11" s="307"/>
      <c r="K11" s="309"/>
      <c r="L11" s="247">
        <f t="shared" si="0"/>
        <v>0</v>
      </c>
      <c r="M11" s="12"/>
      <c r="P11" s="35" t="str">
        <f t="shared" ref="P11:P17" si="4">IF(B11="", "", IF(D11="MWh/yr (LHV)", "Use column to right", "Enter data here"))</f>
        <v>Enter data here</v>
      </c>
      <c r="Q11" s="35" t="str">
        <f t="shared" ref="Q11:Q17" si="5">IF(B11="", "", IF(D11="MWh/yr (LHV)", "Enter data here", "Use column to left"))</f>
        <v>Use column to left</v>
      </c>
      <c r="R11" s="35" t="s">
        <v>898</v>
      </c>
      <c r="S11" s="247" t="str">
        <f t="shared" si="1"/>
        <v>Unfilled fields to left</v>
      </c>
      <c r="U11" s="25"/>
      <c r="V11" s="12"/>
    </row>
    <row r="12" spans="1:26">
      <c r="B12" s="190" t="s">
        <v>605</v>
      </c>
      <c r="C12" s="188" t="s">
        <v>585</v>
      </c>
      <c r="D12" s="183" t="s">
        <v>582</v>
      </c>
      <c r="E12" s="35"/>
      <c r="F12" s="21"/>
      <c r="G12" s="21"/>
      <c r="H12" s="20"/>
      <c r="I12" s="36"/>
      <c r="J12" s="307"/>
      <c r="K12" s="309"/>
      <c r="L12" s="247">
        <f t="shared" si="0"/>
        <v>0</v>
      </c>
      <c r="M12" s="12"/>
      <c r="P12" s="35" t="str">
        <f t="shared" si="4"/>
        <v>Enter data here</v>
      </c>
      <c r="Q12" s="35" t="str">
        <f t="shared" si="5"/>
        <v>Use column to left</v>
      </c>
      <c r="R12" s="35" t="s">
        <v>898</v>
      </c>
      <c r="S12" s="247" t="str">
        <f t="shared" si="1"/>
        <v>Unfilled fields to left</v>
      </c>
      <c r="U12" s="25"/>
      <c r="V12" s="12"/>
    </row>
    <row r="13" spans="1:26">
      <c r="B13" s="190" t="s">
        <v>605</v>
      </c>
      <c r="C13" s="188" t="s">
        <v>635</v>
      </c>
      <c r="D13" s="183" t="s">
        <v>582</v>
      </c>
      <c r="E13" s="35"/>
      <c r="F13" s="21"/>
      <c r="G13" s="21"/>
      <c r="H13" s="20"/>
      <c r="I13" s="36"/>
      <c r="J13" s="307"/>
      <c r="K13" s="309"/>
      <c r="L13" s="247">
        <f t="shared" si="0"/>
        <v>0</v>
      </c>
      <c r="M13" s="12"/>
      <c r="P13" s="35" t="str">
        <f t="shared" si="4"/>
        <v>Enter data here</v>
      </c>
      <c r="Q13" s="35" t="str">
        <f t="shared" si="5"/>
        <v>Use column to left</v>
      </c>
      <c r="R13" s="35" t="s">
        <v>898</v>
      </c>
      <c r="S13" s="247" t="str">
        <f t="shared" si="1"/>
        <v>Unfilled fields to left</v>
      </c>
      <c r="U13" s="25"/>
      <c r="V13" s="12"/>
    </row>
    <row r="14" spans="1:26">
      <c r="B14" s="190" t="s">
        <v>657</v>
      </c>
      <c r="C14" s="188" t="s">
        <v>609</v>
      </c>
      <c r="D14" s="183" t="s">
        <v>582</v>
      </c>
      <c r="E14" s="35"/>
      <c r="F14" s="21"/>
      <c r="G14" s="21"/>
      <c r="H14" s="20"/>
      <c r="I14" s="36"/>
      <c r="J14" s="307"/>
      <c r="K14" s="309"/>
      <c r="L14" s="247">
        <f t="shared" si="0"/>
        <v>0</v>
      </c>
      <c r="M14" s="12"/>
      <c r="P14" s="35" t="str">
        <f t="shared" si="4"/>
        <v>Enter data here</v>
      </c>
      <c r="Q14" s="35" t="str">
        <f t="shared" si="5"/>
        <v>Use column to left</v>
      </c>
      <c r="R14" s="35" t="s">
        <v>898</v>
      </c>
      <c r="S14" s="247" t="str">
        <f t="shared" si="1"/>
        <v>Unfilled fields to left</v>
      </c>
      <c r="U14" s="25"/>
      <c r="V14" s="12"/>
    </row>
    <row r="15" spans="1:26">
      <c r="B15" s="190" t="s">
        <v>657</v>
      </c>
      <c r="C15" s="188" t="s">
        <v>677</v>
      </c>
      <c r="D15" s="183" t="s">
        <v>582</v>
      </c>
      <c r="E15" s="35"/>
      <c r="F15" s="21"/>
      <c r="G15" s="21"/>
      <c r="H15" s="20"/>
      <c r="I15" s="36"/>
      <c r="J15" s="307"/>
      <c r="K15" s="309"/>
      <c r="L15" s="247">
        <f t="shared" si="0"/>
        <v>0</v>
      </c>
      <c r="M15" s="12"/>
      <c r="P15" s="35" t="str">
        <f t="shared" si="4"/>
        <v>Enter data here</v>
      </c>
      <c r="Q15" s="35" t="str">
        <f t="shared" si="5"/>
        <v>Use column to left</v>
      </c>
      <c r="R15" s="35" t="s">
        <v>898</v>
      </c>
      <c r="S15" s="247" t="str">
        <f t="shared" si="1"/>
        <v>Unfilled fields to left</v>
      </c>
      <c r="U15" s="25"/>
      <c r="V15" s="12"/>
    </row>
    <row r="16" spans="1:26">
      <c r="B16" s="190"/>
      <c r="C16" s="188"/>
      <c r="D16" s="183"/>
      <c r="E16" s="35"/>
      <c r="F16" s="21"/>
      <c r="G16" s="21"/>
      <c r="H16" s="20"/>
      <c r="I16" s="36"/>
      <c r="J16" s="307"/>
      <c r="K16" s="309"/>
      <c r="L16" s="247">
        <f t="shared" si="0"/>
        <v>0</v>
      </c>
      <c r="M16" s="12"/>
      <c r="P16" s="35" t="str">
        <f t="shared" ref="P16" si="6">IF(B16="", "", IF(D16="MWh/yr (LHV)", "Use column to right", "Enter data here"))</f>
        <v/>
      </c>
      <c r="Q16" s="35" t="str">
        <f t="shared" ref="Q16" si="7">IF(B16="", "", IF(D16="MWh/yr (LHV)", "Enter data here", "Use column to left"))</f>
        <v/>
      </c>
      <c r="R16" s="35"/>
      <c r="S16" s="247" t="str">
        <f t="shared" si="1"/>
        <v>Unfilled fields to left</v>
      </c>
      <c r="U16" s="25"/>
      <c r="V16" s="12"/>
    </row>
    <row r="17" spans="2:26">
      <c r="B17" s="16"/>
      <c r="C17" s="15"/>
      <c r="D17" s="183"/>
      <c r="E17" s="35"/>
      <c r="F17" s="21"/>
      <c r="G17" s="21"/>
      <c r="H17" s="20"/>
      <c r="I17" s="36"/>
      <c r="J17" s="307"/>
      <c r="K17" s="309"/>
      <c r="L17" s="247">
        <f t="shared" si="0"/>
        <v>0</v>
      </c>
      <c r="M17" s="12"/>
      <c r="P17" s="35" t="str">
        <f t="shared" si="4"/>
        <v/>
      </c>
      <c r="Q17" s="35" t="str">
        <f t="shared" si="5"/>
        <v/>
      </c>
      <c r="R17" s="35"/>
      <c r="S17" s="247" t="str">
        <f t="shared" si="1"/>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678</v>
      </c>
      <c r="D20" s="183" t="s">
        <v>582</v>
      </c>
      <c r="E20" s="35"/>
      <c r="F20" s="24"/>
      <c r="G20" s="21"/>
      <c r="H20" s="21"/>
      <c r="I20" s="21"/>
      <c r="J20" s="307"/>
      <c r="K20" s="313"/>
      <c r="L20" s="247">
        <f t="shared" ref="L20:L32" si="8">IF($D20="MWh/yr (LHV)",$E20,$J20*$E20/Conversion_kWh_to_MJ)</f>
        <v>0</v>
      </c>
      <c r="N20" s="251" t="s">
        <v>485</v>
      </c>
      <c r="O20" s="250" t="str">
        <f>IFERROR(L20/(SUM($L$20:$L$22)),"")</f>
        <v/>
      </c>
      <c r="P20" s="42"/>
      <c r="Q20" s="42"/>
      <c r="R20" s="42"/>
      <c r="S20" s="42"/>
      <c r="U20" s="21"/>
      <c r="V20" s="12"/>
    </row>
    <row r="21" spans="2:26" s="14" customFormat="1">
      <c r="B21" s="190" t="s">
        <v>583</v>
      </c>
      <c r="C21" s="188" t="s">
        <v>804</v>
      </c>
      <c r="D21" s="183" t="s">
        <v>582</v>
      </c>
      <c r="E21" s="35"/>
      <c r="F21" s="21"/>
      <c r="G21" s="21"/>
      <c r="H21" s="20"/>
      <c r="I21" s="33"/>
      <c r="J21" s="307"/>
      <c r="K21" s="309"/>
      <c r="L21" s="247">
        <f t="shared" si="8"/>
        <v>0</v>
      </c>
      <c r="M21" s="12"/>
      <c r="N21" s="12"/>
      <c r="O21" s="250" t="str">
        <f t="shared" ref="O21:O22" si="9">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8"/>
        <v>0</v>
      </c>
      <c r="M22" s="12"/>
      <c r="N22" s="12"/>
      <c r="O22" s="250" t="str">
        <f t="shared" si="9"/>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8"/>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8"/>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8"/>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8"/>
        <v>0</v>
      </c>
      <c r="M26" s="12"/>
      <c r="N26" s="12"/>
      <c r="O26" s="12"/>
      <c r="P26" s="110"/>
      <c r="Q26" s="565"/>
      <c r="R26" s="110"/>
      <c r="S26" s="12"/>
      <c r="U26" s="21"/>
    </row>
    <row r="27" spans="2:26" s="14" customFormat="1">
      <c r="B27" s="190" t="s">
        <v>808</v>
      </c>
      <c r="C27" s="188" t="s">
        <v>822</v>
      </c>
      <c r="D27" s="183" t="s">
        <v>582</v>
      </c>
      <c r="E27" s="35"/>
      <c r="F27" s="34"/>
      <c r="G27" s="21"/>
      <c r="H27" s="20"/>
      <c r="I27" s="36"/>
      <c r="J27" s="307"/>
      <c r="K27" s="309"/>
      <c r="L27" s="247">
        <f t="shared" si="8"/>
        <v>0</v>
      </c>
      <c r="M27" s="12"/>
      <c r="N27" s="12"/>
      <c r="O27" s="12"/>
      <c r="P27" s="556">
        <f>1*1000</f>
        <v>1000</v>
      </c>
      <c r="Q27" s="505"/>
      <c r="R27" s="558" t="s">
        <v>651</v>
      </c>
      <c r="S27" s="247" t="str">
        <f t="shared" ref="S27:S32" si="10">IFERROR(IF(D27="tonnes/yr", $P27*$E27/($L$20*3.6), $Q27*$E27*3.6/($L$20*3.6)), "Unfilled fields to left")</f>
        <v>Unfilled fields to left</v>
      </c>
      <c r="U27" s="21"/>
    </row>
    <row r="28" spans="2:26" s="14" customFormat="1">
      <c r="B28" s="190" t="s">
        <v>808</v>
      </c>
      <c r="C28" s="188" t="s">
        <v>820</v>
      </c>
      <c r="D28" s="183" t="s">
        <v>582</v>
      </c>
      <c r="E28" s="35"/>
      <c r="F28" s="34"/>
      <c r="G28" s="21"/>
      <c r="H28" s="20"/>
      <c r="I28" s="36"/>
      <c r="J28" s="307"/>
      <c r="K28" s="309"/>
      <c r="L28" s="247">
        <f t="shared" si="8"/>
        <v>0</v>
      </c>
      <c r="M28" s="12"/>
      <c r="N28" s="12"/>
      <c r="O28" s="12"/>
      <c r="P28" s="556">
        <f>1*1000</f>
        <v>1000</v>
      </c>
      <c r="Q28" s="505"/>
      <c r="R28" s="558" t="s">
        <v>651</v>
      </c>
      <c r="S28" s="247" t="str">
        <f t="shared" si="10"/>
        <v>Unfilled fields to left</v>
      </c>
      <c r="U28" s="21"/>
    </row>
    <row r="29" spans="2:26" s="14" customFormat="1">
      <c r="B29" s="190" t="s">
        <v>640</v>
      </c>
      <c r="C29" s="188" t="s">
        <v>660</v>
      </c>
      <c r="D29" s="183" t="s">
        <v>582</v>
      </c>
      <c r="E29" s="35"/>
      <c r="F29" s="34"/>
      <c r="G29" s="21"/>
      <c r="H29" s="20"/>
      <c r="I29" s="36"/>
      <c r="J29" s="307"/>
      <c r="K29" s="309"/>
      <c r="L29" s="247">
        <f t="shared" si="8"/>
        <v>0</v>
      </c>
      <c r="M29" s="12"/>
      <c r="N29" s="12"/>
      <c r="O29" s="12"/>
      <c r="P29" s="556">
        <f>28*1000</f>
        <v>28000</v>
      </c>
      <c r="Q29" s="505"/>
      <c r="R29" s="558" t="s">
        <v>651</v>
      </c>
      <c r="S29" s="247" t="str">
        <f t="shared" si="10"/>
        <v>Unfilled fields to left</v>
      </c>
      <c r="U29" s="21"/>
    </row>
    <row r="30" spans="2:26" s="14" customFormat="1">
      <c r="B30" s="190" t="s">
        <v>640</v>
      </c>
      <c r="C30" s="188" t="s">
        <v>824</v>
      </c>
      <c r="D30" s="183" t="s">
        <v>582</v>
      </c>
      <c r="E30" s="35"/>
      <c r="F30" s="34"/>
      <c r="G30" s="21"/>
      <c r="H30" s="20"/>
      <c r="I30" s="36"/>
      <c r="J30" s="307"/>
      <c r="K30" s="309"/>
      <c r="L30" s="247">
        <f t="shared" si="8"/>
        <v>0</v>
      </c>
      <c r="M30" s="12"/>
      <c r="N30" s="12"/>
      <c r="O30" s="12"/>
      <c r="P30" s="556">
        <v>265000</v>
      </c>
      <c r="Q30" s="505"/>
      <c r="R30" s="558" t="s">
        <v>651</v>
      </c>
      <c r="S30" s="247" t="str">
        <f t="shared" si="10"/>
        <v>Unfilled fields to left</v>
      </c>
      <c r="U30" s="21"/>
    </row>
    <row r="31" spans="2:26" s="14" customFormat="1">
      <c r="B31" s="16"/>
      <c r="C31" s="15"/>
      <c r="D31" s="183"/>
      <c r="E31" s="35"/>
      <c r="F31" s="21"/>
      <c r="G31" s="21"/>
      <c r="H31" s="20"/>
      <c r="I31" s="36"/>
      <c r="J31" s="307"/>
      <c r="K31" s="309"/>
      <c r="L31" s="247">
        <f t="shared" si="8"/>
        <v>0</v>
      </c>
      <c r="M31" s="12"/>
      <c r="N31" s="12"/>
      <c r="O31" s="12"/>
      <c r="P31" s="556"/>
      <c r="Q31" s="505"/>
      <c r="R31" s="559"/>
      <c r="S31" s="247" t="str">
        <f t="shared" si="10"/>
        <v>Unfilled fields to left</v>
      </c>
      <c r="U31" s="21"/>
    </row>
    <row r="32" spans="2:26" s="14" customFormat="1">
      <c r="B32" s="16"/>
      <c r="C32" s="15"/>
      <c r="D32" s="183"/>
      <c r="E32" s="35"/>
      <c r="F32" s="21"/>
      <c r="G32" s="21"/>
      <c r="H32" s="20"/>
      <c r="I32" s="36"/>
      <c r="J32" s="307"/>
      <c r="K32" s="309"/>
      <c r="L32" s="247">
        <f t="shared" si="8"/>
        <v>0</v>
      </c>
      <c r="M32" s="12"/>
      <c r="N32" s="12"/>
      <c r="O32" s="12"/>
      <c r="P32" s="556"/>
      <c r="Q32" s="505"/>
      <c r="R32" s="559"/>
      <c r="S32" s="247" t="str">
        <f t="shared" si="10"/>
        <v>Unfilled fields to left</v>
      </c>
      <c r="U32" s="21"/>
    </row>
    <row r="33" spans="2:22" s="19" customFormat="1">
      <c r="C33" s="17"/>
      <c r="D33" s="17"/>
      <c r="E33" s="144"/>
      <c r="F33" s="17"/>
      <c r="H33" s="18"/>
      <c r="I33" s="18"/>
      <c r="J33" s="40"/>
      <c r="K33" s="40"/>
      <c r="L33" s="40"/>
      <c r="P33" s="40"/>
      <c r="Q33" s="40"/>
      <c r="R33" s="40"/>
      <c r="S33" s="40"/>
    </row>
    <row r="34" spans="2:22" s="19" customFormat="1">
      <c r="B34" s="149" t="s">
        <v>661</v>
      </c>
      <c r="C34" s="149"/>
      <c r="D34" s="149"/>
      <c r="E34" s="308"/>
      <c r="F34" s="149"/>
      <c r="G34" s="149"/>
      <c r="H34" s="149"/>
      <c r="I34" s="149"/>
      <c r="J34" s="308"/>
      <c r="K34" s="308"/>
      <c r="L34" s="308"/>
      <c r="P34" s="40"/>
      <c r="Q34" s="40"/>
      <c r="R34" s="40"/>
      <c r="S34" s="40"/>
    </row>
    <row r="35" spans="2:22" s="19" customFormat="1">
      <c r="B35" s="190" t="s">
        <v>758</v>
      </c>
      <c r="C35" s="188" t="s">
        <v>691</v>
      </c>
      <c r="D35" s="183" t="s">
        <v>582</v>
      </c>
      <c r="E35" s="35" t="e">
        <f>E43/E42*E20</f>
        <v>#DIV/0!</v>
      </c>
      <c r="F35" s="24"/>
      <c r="G35" s="21"/>
      <c r="H35" s="20"/>
      <c r="I35" s="20"/>
      <c r="J35" s="307"/>
      <c r="K35" s="309"/>
      <c r="L35" s="247" t="e">
        <f>IF($D35="MWh/yr (LHV)",$E35,$J35*$E35/Conversion_kWh_to_MJ)</f>
        <v>#DIV/0!</v>
      </c>
      <c r="P35" s="307">
        <v>1000</v>
      </c>
      <c r="Q35" s="505"/>
      <c r="R35" s="35" t="s">
        <v>651</v>
      </c>
      <c r="S35" s="247" t="str">
        <f>IFERROR(IF(D35="tonnes/yr", $P35*$E35/($L$20*3.6), $Q35*$E35*3.6/($L$20*3.6)), "Unfilled fields to left")</f>
        <v>Unfilled fields to left</v>
      </c>
      <c r="U35" s="24"/>
    </row>
    <row r="36" spans="2:22" s="19" customFormat="1">
      <c r="B36" s="16"/>
      <c r="C36" s="15"/>
      <c r="D36" s="183"/>
      <c r="E36" s="35"/>
      <c r="F36" s="21"/>
      <c r="G36" s="21"/>
      <c r="H36" s="20"/>
      <c r="I36" s="36"/>
      <c r="J36" s="307"/>
      <c r="K36" s="309"/>
      <c r="L36" s="247">
        <f>IF($D36="MWh/yr (LHV)",$E36,$J36*$E36/Conversion_kWh_to_MJ)</f>
        <v>0</v>
      </c>
      <c r="P36" s="309"/>
      <c r="Q36" s="505"/>
      <c r="R36" s="309"/>
      <c r="S36" s="247" t="str">
        <f>IFERROR(IF(D36="tonnes/yr", $P36*$E36/($L$20*3.6), $Q36*$E36*3.6/($L$20*3.6)), "Unfilled fields to left")</f>
        <v>Unfilled fields to left</v>
      </c>
      <c r="U36" s="25"/>
    </row>
    <row r="37" spans="2:22" s="19" customFormat="1">
      <c r="C37" s="17"/>
      <c r="D37" s="17"/>
      <c r="E37" s="144"/>
      <c r="F37" s="17"/>
      <c r="H37" s="18"/>
      <c r="I37" s="18"/>
      <c r="J37" s="40"/>
      <c r="K37" s="40"/>
      <c r="L37" s="40"/>
      <c r="P37" s="40"/>
      <c r="Q37" s="40"/>
      <c r="R37" s="40"/>
      <c r="S37" s="40"/>
    </row>
    <row r="38" spans="2:22" s="19" customFormat="1">
      <c r="C38" s="17"/>
      <c r="D38" s="17"/>
      <c r="E38" s="144"/>
      <c r="F38" s="17"/>
      <c r="H38" s="18"/>
      <c r="I38" s="18"/>
      <c r="J38" s="40"/>
      <c r="K38" s="40"/>
      <c r="L38" s="40"/>
      <c r="P38" s="40"/>
      <c r="Q38" s="40"/>
      <c r="R38" s="40"/>
      <c r="S38" s="40"/>
    </row>
    <row r="39" spans="2:22" s="19" customFormat="1">
      <c r="D39" s="17"/>
      <c r="E39" s="144"/>
      <c r="H39" s="130"/>
      <c r="I39" s="130"/>
      <c r="J39" s="129"/>
      <c r="K39" s="129"/>
      <c r="L39" s="129"/>
      <c r="P39" s="129"/>
      <c r="Q39" s="129"/>
      <c r="R39" s="38" t="s">
        <v>641</v>
      </c>
      <c r="S39" s="157">
        <f>SUM(S7:S38)</f>
        <v>0</v>
      </c>
    </row>
    <row r="40" spans="2:22">
      <c r="B40" s="149" t="s">
        <v>94</v>
      </c>
      <c r="C40" s="163"/>
      <c r="D40" s="163"/>
      <c r="E40" s="527"/>
      <c r="I40" s="12"/>
      <c r="J40" s="110"/>
      <c r="K40" s="110"/>
      <c r="L40" s="110"/>
      <c r="M40" s="12"/>
      <c r="P40" s="110"/>
      <c r="Q40" s="110"/>
      <c r="R40" s="110"/>
      <c r="V40" s="12"/>
    </row>
    <row r="41" spans="2:22">
      <c r="B41" s="16" t="s">
        <v>626</v>
      </c>
      <c r="C41" s="15" t="s">
        <v>627</v>
      </c>
      <c r="D41" s="15" t="s">
        <v>628</v>
      </c>
      <c r="E41" s="529"/>
      <c r="G41" s="19"/>
      <c r="H41" s="12"/>
      <c r="I41" s="12"/>
      <c r="J41" s="110"/>
      <c r="K41" s="110"/>
      <c r="L41" s="110"/>
      <c r="M41" s="12"/>
      <c r="P41" s="110"/>
      <c r="Q41" s="110"/>
      <c r="R41" s="110"/>
      <c r="S41" s="12"/>
      <c r="U41" s="25"/>
      <c r="V41" s="12"/>
    </row>
    <row r="42" spans="2:22">
      <c r="B42" s="16" t="s">
        <v>663</v>
      </c>
      <c r="C42" s="15" t="s">
        <v>663</v>
      </c>
      <c r="D42" s="15" t="s">
        <v>664</v>
      </c>
      <c r="E42" s="529"/>
      <c r="H42" s="12"/>
      <c r="I42" s="12"/>
      <c r="J42" s="110"/>
      <c r="K42" s="110"/>
      <c r="L42" s="110"/>
      <c r="M42" s="12"/>
      <c r="P42" s="110"/>
      <c r="Q42" s="110"/>
      <c r="R42" s="110"/>
      <c r="S42" s="12"/>
      <c r="U42" s="25"/>
      <c r="V42" s="12"/>
    </row>
    <row r="43" spans="2:22">
      <c r="B43" s="16" t="s">
        <v>662</v>
      </c>
      <c r="C43" s="15" t="s">
        <v>665</v>
      </c>
      <c r="D43" s="15" t="s">
        <v>666</v>
      </c>
      <c r="E43" s="529"/>
      <c r="J43" s="39"/>
      <c r="K43" s="39"/>
      <c r="P43" s="39"/>
      <c r="Q43" s="39"/>
      <c r="R43" s="39"/>
      <c r="U43" s="25"/>
    </row>
    <row r="44" spans="2:22">
      <c r="B44" s="16"/>
      <c r="C44" s="15"/>
      <c r="D44" s="15"/>
      <c r="E44" s="535"/>
      <c r="J44" s="39"/>
      <c r="K44" s="39"/>
      <c r="P44" s="39"/>
      <c r="Q44" s="39"/>
      <c r="R44" s="39"/>
      <c r="U44" s="25"/>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J122" s="39"/>
      <c r="K122" s="39"/>
      <c r="P122" s="39"/>
      <c r="Q122" s="39"/>
      <c r="R122" s="39"/>
    </row>
    <row r="123" spans="5:18">
      <c r="E123" s="110"/>
      <c r="J123" s="39"/>
      <c r="K123" s="39"/>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E147" s="110"/>
      <c r="P147" s="39"/>
      <c r="Q147" s="39"/>
      <c r="R147" s="39"/>
    </row>
    <row r="148" spans="5:18">
      <c r="E148" s="110"/>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row r="189" spans="16:18">
      <c r="P189" s="39"/>
      <c r="Q189" s="39"/>
      <c r="R189" s="39"/>
    </row>
    <row r="190" spans="16:18">
      <c r="P190" s="39"/>
      <c r="Q190" s="39"/>
      <c r="R190"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35:D36 D8:D17 D20:D32" xr:uid="{CBBDBBCA-ADE8-45DC-98EB-B34334A10155}">
      <formula1>Flow_units</formula1>
    </dataValidation>
    <dataValidation type="custom" allowBlank="1" showInputMessage="1" showErrorMessage="1" error="Please do not change this formula" prompt="Please do not change this formula" sqref="T4 M4 N6:O1048576 L1:L1048576 N1:O4 S1:S4 S6:S1048576 N5:S5" xr:uid="{46499973-AEC8-430D-B244-EECCC65C7185}">
      <formula1>"Please do not change this formula"</formula1>
    </dataValidation>
  </dataValidations>
  <hyperlinks>
    <hyperlink ref="I2:J2" location="'Biomass Transport'!A1" display="Go to the next step of this pathway" xr:uid="{96D45221-5F40-4D0B-8945-3C29F069E7C1}"/>
    <hyperlink ref="I2:K2" location="Biomass_Harvesting!A1" display="Go to the next step of this pathway" xr:uid="{53413711-7069-4CB4-84E7-2A693E2C605A}"/>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8" id="{74D229FE-5E10-42E1-BC6A-DC3DE06BB9CE}">
            <xm:f>AND(Initial_questions!$E$21&lt;&gt;"Biomass Gasification with CCS",Initial_questions!$E$21&lt;&gt;"Biomass Gasification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58" id="{8E32836F-B520-4D09-A53F-62647D24D922}">
            <xm:f>AND(Initial_questions!$E$62&lt;&gt;"Cereals and other starch-rich crops", Initial_questions!$E$62&lt;&gt;"Sugar crops", Initial_questions!$E$62&lt;&gt;"Oil crops", Initial_questions!$E$62&lt;&gt;"Other crop",Master_Switch="On")</xm:f>
            <x14:dxf>
              <font>
                <color theme="0"/>
              </font>
              <fill>
                <patternFill>
                  <bgColor theme="0"/>
                </patternFill>
              </fill>
              <border>
                <left/>
                <right/>
                <top/>
                <bottom/>
                <vertical/>
                <horizontal/>
              </border>
            </x14:dxf>
          </x14:cfRule>
          <xm:sqref>A4:XFD100</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D6F66-8861-42A1-8784-22337880EFC9}">
  <sheetPr codeName="Sheet48">
    <tabColor rgb="FFCCFF66"/>
  </sheetPr>
  <dimension ref="A1:Z188"/>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IF(AND(Initial_questions!$E$21&lt;&gt;"Biomass Gasification with CCS",Initial_questions!$E$21&lt;&gt;"Biomass Gasification without CCS",Master_Switch="On"),"User should not fill in this sheet, but switch to other non-blank GHG worksheets","")</f>
        <v>User should not fill in this sheet, but switch to other non-blank GHG worksheets</v>
      </c>
      <c r="E1" s="262"/>
    </row>
    <row r="2" spans="1:26" ht="20.399999999999999" customHeight="1">
      <c r="B2" s="83" t="str">
        <f>IF(AND(Initial_questions!$E$62&lt;&gt;"Cereals and other starch-rich crops", Initial_questions!$E$62&lt;&gt;"Sugar crops", Initial_questions!$E$62&lt;&gt;"Oil crops", Initial_questions!$E$62&lt;&gt;"Other crop",Master_Switch="On"),"Not a purpose-grown feedstock, move to the next step of the pathway","")</f>
        <v>Not a purpose-grown feedstock, move to the next step of the pathway</v>
      </c>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678</v>
      </c>
      <c r="D8" s="183" t="s">
        <v>582</v>
      </c>
      <c r="E8" s="35"/>
      <c r="F8" s="24"/>
      <c r="G8" s="21"/>
      <c r="H8" s="21"/>
      <c r="I8" s="21"/>
      <c r="J8" s="307"/>
      <c r="K8" s="309"/>
      <c r="L8" s="247">
        <f t="shared" ref="L8:L17" si="0">IF($D8="MWh/yr (LHV)",$E8,$J8*$E8/Conversion_kWh_to_MJ)</f>
        <v>0</v>
      </c>
      <c r="M8" s="12"/>
      <c r="P8" s="110"/>
      <c r="Q8" s="110"/>
      <c r="R8" s="110"/>
      <c r="S8" s="12"/>
      <c r="U8" s="24"/>
      <c r="V8" s="12"/>
    </row>
    <row r="9" spans="1:26">
      <c r="B9" s="190" t="s">
        <v>592</v>
      </c>
      <c r="C9" s="188" t="s">
        <v>646</v>
      </c>
      <c r="D9" s="183" t="s">
        <v>747</v>
      </c>
      <c r="E9" s="35"/>
      <c r="F9" s="24"/>
      <c r="G9" s="21"/>
      <c r="H9" s="20"/>
      <c r="I9" s="36"/>
      <c r="J9" s="307"/>
      <c r="K9" s="309"/>
      <c r="L9" s="247">
        <f t="shared" si="0"/>
        <v>0</v>
      </c>
      <c r="M9" s="12"/>
      <c r="P9" s="35" t="str">
        <f>IF(B9="", "", IF(D9="MWh/yr (LHV)", "Use column to right", "Enter data here"))</f>
        <v>Use column to right</v>
      </c>
      <c r="Q9" s="35" t="e">
        <f>INDEX(Assumptions!$F$5:$AJ$5,1,MATCH(Initial_questions!$E$24,Assumptions!$F$4:$AJ$4,0))*1000/Conversion_kWh_to_MJ</f>
        <v>#N/A</v>
      </c>
      <c r="R9" s="35" t="s">
        <v>896</v>
      </c>
      <c r="S9" s="269" t="str">
        <f t="shared" ref="S9:S17" si="1">IFERROR(IF(D9="tonnes/yr", $P9*$E9/($L$20*3.6), $Q9*$E9*3.6/($L$20*3.6)), "Unfilled fields to left")</f>
        <v>Unfilled fields to left</v>
      </c>
      <c r="U9" s="25"/>
      <c r="V9" s="12"/>
    </row>
    <row r="10" spans="1:26">
      <c r="B10" s="190" t="s">
        <v>592</v>
      </c>
      <c r="C10" s="188"/>
      <c r="D10" s="183"/>
      <c r="E10" s="35"/>
      <c r="F10" s="24"/>
      <c r="G10" s="21"/>
      <c r="H10" s="20"/>
      <c r="I10" s="36"/>
      <c r="J10" s="307"/>
      <c r="K10" s="309"/>
      <c r="L10" s="247">
        <f t="shared" si="0"/>
        <v>0</v>
      </c>
      <c r="M10" s="12"/>
      <c r="P10" s="35" t="str">
        <f t="shared" ref="P10" si="2">IF(B10="", "", IF(D10="MWh/yr (LHV)", "Use column to right", "Enter data here"))</f>
        <v>Enter data here</v>
      </c>
      <c r="Q10" s="35" t="str">
        <f t="shared" ref="Q10" si="3">IF(B10="", "", IF(D10="MWh/yr (LHV)", "Enter data here", "Use column to left"))</f>
        <v>Use column to left</v>
      </c>
      <c r="R10" s="35" t="s">
        <v>898</v>
      </c>
      <c r="S10" s="269" t="str">
        <f t="shared" si="1"/>
        <v>Unfilled fields to left</v>
      </c>
      <c r="U10" s="25"/>
      <c r="V10" s="12"/>
    </row>
    <row r="11" spans="1:26">
      <c r="B11" s="190" t="s">
        <v>599</v>
      </c>
      <c r="C11" s="188" t="s">
        <v>600</v>
      </c>
      <c r="D11" s="183" t="s">
        <v>582</v>
      </c>
      <c r="E11" s="35"/>
      <c r="F11" s="35"/>
      <c r="G11" s="21"/>
      <c r="H11" s="20"/>
      <c r="I11" s="36"/>
      <c r="J11" s="307"/>
      <c r="K11" s="309"/>
      <c r="L11" s="247">
        <f t="shared" si="0"/>
        <v>0</v>
      </c>
      <c r="M11" s="12"/>
      <c r="P11" s="35" t="str">
        <f t="shared" ref="P11:P17" si="4">IF(B11="", "", IF(D11="MWh/yr (LHV)", "Use column to right", "Enter data here"))</f>
        <v>Enter data here</v>
      </c>
      <c r="Q11" s="35" t="str">
        <f t="shared" ref="Q11:Q17" si="5">IF(B11="", "", IF(D11="MWh/yr (LHV)", "Enter data here", "Use column to left"))</f>
        <v>Use column to left</v>
      </c>
      <c r="R11" s="35" t="s">
        <v>898</v>
      </c>
      <c r="S11" s="269" t="str">
        <f t="shared" si="1"/>
        <v>Unfilled fields to left</v>
      </c>
      <c r="T11" s="94"/>
      <c r="U11" s="25"/>
      <c r="V11" s="12"/>
    </row>
    <row r="12" spans="1:26">
      <c r="B12" s="190" t="s">
        <v>599</v>
      </c>
      <c r="C12" s="188" t="s">
        <v>601</v>
      </c>
      <c r="D12" s="183" t="s">
        <v>582</v>
      </c>
      <c r="E12" s="35"/>
      <c r="F12" s="21"/>
      <c r="G12" s="21"/>
      <c r="H12" s="20"/>
      <c r="I12" s="36"/>
      <c r="J12" s="307"/>
      <c r="K12" s="309"/>
      <c r="L12" s="247">
        <f t="shared" si="0"/>
        <v>0</v>
      </c>
      <c r="M12" s="12"/>
      <c r="P12" s="35" t="str">
        <f t="shared" si="4"/>
        <v>Enter data here</v>
      </c>
      <c r="Q12" s="35" t="str">
        <f t="shared" si="5"/>
        <v>Use column to left</v>
      </c>
      <c r="R12" s="35" t="s">
        <v>898</v>
      </c>
      <c r="S12" s="269" t="str">
        <f t="shared" si="1"/>
        <v>Unfilled fields to left</v>
      </c>
      <c r="U12" s="25"/>
      <c r="V12" s="12"/>
    </row>
    <row r="13" spans="1:26">
      <c r="B13" s="190" t="s">
        <v>605</v>
      </c>
      <c r="C13" s="188" t="s">
        <v>585</v>
      </c>
      <c r="D13" s="183" t="s">
        <v>582</v>
      </c>
      <c r="E13" s="35"/>
      <c r="F13" s="21"/>
      <c r="G13" s="21"/>
      <c r="H13" s="20"/>
      <c r="I13" s="36"/>
      <c r="J13" s="307"/>
      <c r="K13" s="309"/>
      <c r="L13" s="247">
        <f t="shared" si="0"/>
        <v>0</v>
      </c>
      <c r="M13" s="12"/>
      <c r="P13" s="35" t="str">
        <f t="shared" si="4"/>
        <v>Enter data here</v>
      </c>
      <c r="Q13" s="35" t="str">
        <f t="shared" si="5"/>
        <v>Use column to left</v>
      </c>
      <c r="R13" s="35" t="s">
        <v>898</v>
      </c>
      <c r="S13" s="269" t="str">
        <f t="shared" si="1"/>
        <v>Unfilled fields to left</v>
      </c>
      <c r="U13" s="25"/>
      <c r="V13" s="12"/>
    </row>
    <row r="14" spans="1:26">
      <c r="B14" s="190" t="s">
        <v>605</v>
      </c>
      <c r="C14" s="188" t="s">
        <v>635</v>
      </c>
      <c r="D14" s="183" t="s">
        <v>582</v>
      </c>
      <c r="E14" s="35"/>
      <c r="F14" s="21"/>
      <c r="G14" s="21"/>
      <c r="H14" s="20"/>
      <c r="I14" s="36"/>
      <c r="J14" s="307"/>
      <c r="K14" s="309"/>
      <c r="L14" s="247">
        <f t="shared" si="0"/>
        <v>0</v>
      </c>
      <c r="M14" s="12"/>
      <c r="P14" s="35" t="str">
        <f t="shared" si="4"/>
        <v>Enter data here</v>
      </c>
      <c r="Q14" s="35" t="str">
        <f t="shared" si="5"/>
        <v>Use column to left</v>
      </c>
      <c r="R14" s="35" t="s">
        <v>898</v>
      </c>
      <c r="S14" s="269" t="str">
        <f t="shared" si="1"/>
        <v>Unfilled fields to left</v>
      </c>
      <c r="U14" s="25"/>
      <c r="V14" s="12"/>
    </row>
    <row r="15" spans="1:26">
      <c r="B15" s="190" t="s">
        <v>657</v>
      </c>
      <c r="C15" s="188" t="s">
        <v>609</v>
      </c>
      <c r="D15" s="183" t="s">
        <v>582</v>
      </c>
      <c r="E15" s="35"/>
      <c r="F15" s="21"/>
      <c r="G15" s="21"/>
      <c r="H15" s="20"/>
      <c r="I15" s="36"/>
      <c r="J15" s="307"/>
      <c r="K15" s="309"/>
      <c r="L15" s="247">
        <f t="shared" si="0"/>
        <v>0</v>
      </c>
      <c r="M15" s="12"/>
      <c r="P15" s="35" t="str">
        <f t="shared" si="4"/>
        <v>Enter data here</v>
      </c>
      <c r="Q15" s="35" t="str">
        <f t="shared" si="5"/>
        <v>Use column to left</v>
      </c>
      <c r="R15" s="35" t="s">
        <v>898</v>
      </c>
      <c r="S15" s="269" t="str">
        <f t="shared" si="1"/>
        <v>Unfilled fields to left</v>
      </c>
      <c r="U15" s="25"/>
      <c r="V15" s="12"/>
    </row>
    <row r="16" spans="1:26">
      <c r="B16" s="190" t="s">
        <v>657</v>
      </c>
      <c r="C16" s="188" t="s">
        <v>677</v>
      </c>
      <c r="D16" s="183" t="s">
        <v>582</v>
      </c>
      <c r="E16" s="35"/>
      <c r="F16" s="21"/>
      <c r="G16" s="21"/>
      <c r="H16" s="20"/>
      <c r="I16" s="36"/>
      <c r="J16" s="307"/>
      <c r="K16" s="309"/>
      <c r="L16" s="247">
        <f t="shared" si="0"/>
        <v>0</v>
      </c>
      <c r="M16" s="12"/>
      <c r="P16" s="35" t="str">
        <f t="shared" si="4"/>
        <v>Enter data here</v>
      </c>
      <c r="Q16" s="35" t="str">
        <f t="shared" si="5"/>
        <v>Use column to left</v>
      </c>
      <c r="R16" s="35" t="s">
        <v>898</v>
      </c>
      <c r="S16" s="269" t="str">
        <f t="shared" si="1"/>
        <v>Unfilled fields to left</v>
      </c>
      <c r="U16" s="25"/>
      <c r="V16" s="12"/>
    </row>
    <row r="17" spans="2:26">
      <c r="B17" s="16"/>
      <c r="C17" s="15"/>
      <c r="D17" s="183"/>
      <c r="E17" s="35"/>
      <c r="F17" s="21"/>
      <c r="G17" s="21"/>
      <c r="H17" s="20"/>
      <c r="I17" s="36"/>
      <c r="J17" s="307"/>
      <c r="K17" s="309"/>
      <c r="L17" s="247">
        <f t="shared" si="0"/>
        <v>0</v>
      </c>
      <c r="M17" s="12"/>
      <c r="P17" s="35" t="str">
        <f t="shared" si="4"/>
        <v/>
      </c>
      <c r="Q17" s="35" t="str">
        <f t="shared" si="5"/>
        <v/>
      </c>
      <c r="R17" s="35"/>
      <c r="S17" s="269" t="str">
        <f t="shared" si="1"/>
        <v>Unfilled fields to left</v>
      </c>
      <c r="U17" s="25"/>
      <c r="V17" s="12"/>
    </row>
    <row r="18" spans="2:26">
      <c r="C18" s="17"/>
      <c r="D18" s="17"/>
      <c r="E18" s="534"/>
      <c r="F18" s="26"/>
      <c r="G18" s="27"/>
      <c r="H18" s="22"/>
      <c r="I18" s="22"/>
      <c r="J18" s="41"/>
      <c r="K18" s="41"/>
      <c r="L18" s="41"/>
      <c r="P18" s="41"/>
      <c r="Q18" s="41"/>
      <c r="R18" s="41"/>
      <c r="S18" s="143"/>
      <c r="U18" s="27"/>
      <c r="V18" s="12"/>
    </row>
    <row r="19" spans="2:26">
      <c r="B19" s="149" t="s">
        <v>637</v>
      </c>
      <c r="C19" s="149"/>
      <c r="D19" s="149"/>
      <c r="E19" s="308"/>
      <c r="F19" s="149"/>
      <c r="G19" s="149"/>
      <c r="H19" s="149"/>
      <c r="I19" s="149"/>
      <c r="J19" s="308"/>
      <c r="K19" s="308"/>
      <c r="L19" s="308"/>
      <c r="N19"/>
      <c r="O19"/>
      <c r="P19" s="40"/>
      <c r="Q19" s="40"/>
      <c r="R19" s="40"/>
      <c r="S19" s="144"/>
      <c r="T19" s="19"/>
      <c r="U19" s="19"/>
      <c r="V19" s="19"/>
      <c r="W19" s="19"/>
      <c r="X19" s="19"/>
      <c r="Y19" s="19"/>
      <c r="Z19" s="19"/>
    </row>
    <row r="20" spans="2:26">
      <c r="B20" s="16" t="s">
        <v>638</v>
      </c>
      <c r="C20" s="188" t="s">
        <v>831</v>
      </c>
      <c r="D20" s="183" t="s">
        <v>582</v>
      </c>
      <c r="E20" s="35"/>
      <c r="F20" s="24"/>
      <c r="G20" s="21"/>
      <c r="H20" s="21"/>
      <c r="I20" s="21"/>
      <c r="J20" s="307"/>
      <c r="K20" s="313"/>
      <c r="L20" s="247">
        <f t="shared" ref="L20:L31" si="6">IF($D20="MWh/yr (LHV)",$E20,$J20*$E20/Conversion_kWh_to_MJ)</f>
        <v>0</v>
      </c>
      <c r="N20" s="251" t="str">
        <f>IFERROR(L20/L8,"")</f>
        <v/>
      </c>
      <c r="O20" s="250" t="str">
        <f>IFERROR(L20/(SUM($L$20:$L$22)),"")</f>
        <v/>
      </c>
      <c r="P20" s="42"/>
      <c r="Q20" s="42"/>
      <c r="R20" s="42"/>
      <c r="S20" s="145"/>
      <c r="U20" s="21"/>
      <c r="V20" s="12"/>
    </row>
    <row r="21" spans="2:26" s="14" customFormat="1">
      <c r="B21" s="190" t="s">
        <v>583</v>
      </c>
      <c r="C21" s="188" t="s">
        <v>804</v>
      </c>
      <c r="D21" s="183" t="s">
        <v>582</v>
      </c>
      <c r="E21" s="35"/>
      <c r="F21" s="21"/>
      <c r="G21" s="21"/>
      <c r="H21" s="20"/>
      <c r="I21" s="33"/>
      <c r="J21" s="307"/>
      <c r="K21" s="309"/>
      <c r="L21" s="247">
        <f t="shared" si="6"/>
        <v>0</v>
      </c>
      <c r="M21" s="12"/>
      <c r="N21" s="12"/>
      <c r="O21" s="250" t="str">
        <f t="shared" ref="O21:O22" si="7">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6"/>
        <v>0</v>
      </c>
      <c r="M22" s="12"/>
      <c r="N22" s="12"/>
      <c r="O22" s="250" t="str">
        <f t="shared" si="7"/>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6"/>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6"/>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6"/>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6"/>
        <v>0</v>
      </c>
      <c r="M26" s="12"/>
      <c r="N26" s="12"/>
      <c r="O26" s="12"/>
      <c r="P26" s="110"/>
      <c r="Q26" s="110"/>
      <c r="R26" s="110"/>
      <c r="S26" s="12"/>
      <c r="U26" s="21"/>
    </row>
    <row r="27" spans="2:26" s="14" customFormat="1">
      <c r="B27" s="190" t="s">
        <v>611</v>
      </c>
      <c r="C27" s="188" t="s">
        <v>820</v>
      </c>
      <c r="D27" s="183" t="s">
        <v>582</v>
      </c>
      <c r="E27" s="35"/>
      <c r="F27" s="34"/>
      <c r="G27" s="21"/>
      <c r="H27" s="20"/>
      <c r="I27" s="36"/>
      <c r="J27" s="307"/>
      <c r="K27" s="309"/>
      <c r="L27" s="247">
        <f t="shared" si="6"/>
        <v>0</v>
      </c>
      <c r="M27" s="12"/>
      <c r="N27" s="12"/>
      <c r="O27" s="12"/>
      <c r="P27" s="35">
        <v>1000</v>
      </c>
      <c r="Q27" s="546"/>
      <c r="R27" s="35" t="s">
        <v>821</v>
      </c>
      <c r="S27" s="269"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6"/>
        <v>0</v>
      </c>
      <c r="M28" s="12"/>
      <c r="N28" s="12"/>
      <c r="O28" s="12"/>
      <c r="P28" s="35">
        <v>28000</v>
      </c>
      <c r="Q28" s="546"/>
      <c r="R28" s="35" t="s">
        <v>651</v>
      </c>
      <c r="S28" s="269" t="str">
        <f>IFERROR(IF(D28="tonnes/yr", $P28*$E28/($L$20*3.6), $Q28*$E28*3.6/($L$20*3.6)), "Unfilled fields to left")</f>
        <v>Unfilled fields to left</v>
      </c>
      <c r="U28" s="21"/>
    </row>
    <row r="29" spans="2:26" s="14" customFormat="1">
      <c r="B29" s="190" t="s">
        <v>640</v>
      </c>
      <c r="C29" s="188" t="s">
        <v>824</v>
      </c>
      <c r="D29" s="183" t="s">
        <v>582</v>
      </c>
      <c r="E29" s="35"/>
      <c r="F29" s="24"/>
      <c r="G29" s="21"/>
      <c r="H29" s="20"/>
      <c r="I29" s="36"/>
      <c r="J29" s="307"/>
      <c r="K29" s="309"/>
      <c r="L29" s="247">
        <f t="shared" si="6"/>
        <v>0</v>
      </c>
      <c r="M29" s="12"/>
      <c r="N29" s="12"/>
      <c r="O29" s="12"/>
      <c r="P29" s="35">
        <v>265000</v>
      </c>
      <c r="Q29" s="546"/>
      <c r="R29" s="35" t="s">
        <v>651</v>
      </c>
      <c r="S29" s="269"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6"/>
        <v>0</v>
      </c>
      <c r="M30" s="12"/>
      <c r="N30" s="12"/>
      <c r="O30" s="12"/>
      <c r="P30" s="307"/>
      <c r="Q30" s="505"/>
      <c r="R30" s="309"/>
      <c r="S30" s="269" t="str">
        <f>IFERROR(IF(D30="tonnes/yr", $P30*$E30/($L$20*3.6), $Q30*$E30*3.6/($L$20*3.6)), "Unfilled fields to left")</f>
        <v>Unfilled fields to left</v>
      </c>
      <c r="U30" s="21"/>
    </row>
    <row r="31" spans="2:26" s="14" customFormat="1">
      <c r="B31" s="16"/>
      <c r="C31" s="15"/>
      <c r="D31" s="183"/>
      <c r="E31" s="35"/>
      <c r="F31" s="21"/>
      <c r="G31" s="21"/>
      <c r="H31" s="20"/>
      <c r="I31" s="36"/>
      <c r="J31" s="307"/>
      <c r="K31" s="309"/>
      <c r="L31" s="247">
        <f t="shared" si="6"/>
        <v>0</v>
      </c>
      <c r="M31" s="12"/>
      <c r="N31" s="12"/>
      <c r="O31" s="12"/>
      <c r="P31" s="307"/>
      <c r="Q31" s="505"/>
      <c r="R31" s="309"/>
      <c r="S31" s="269"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144"/>
      <c r="V32" s="12"/>
    </row>
    <row r="33" spans="2:22">
      <c r="D33" s="17"/>
      <c r="E33" s="144"/>
      <c r="J33" s="39"/>
      <c r="K33" s="39"/>
      <c r="M33" s="12"/>
      <c r="P33" s="39"/>
      <c r="Q33" s="39"/>
      <c r="R33" s="38" t="s">
        <v>641</v>
      </c>
      <c r="S33" s="157">
        <f>SUM(S7:S32)</f>
        <v>0</v>
      </c>
      <c r="V33" s="12"/>
    </row>
    <row r="34" spans="2:22">
      <c r="B34" s="149" t="s">
        <v>94</v>
      </c>
      <c r="C34" s="163"/>
      <c r="D34" s="163"/>
      <c r="E34" s="527"/>
      <c r="I34" s="12"/>
      <c r="J34" s="110"/>
      <c r="K34" s="110"/>
      <c r="L34" s="110"/>
      <c r="M34" s="12"/>
      <c r="P34" s="110"/>
      <c r="Q34" s="110"/>
      <c r="R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c r="C36" s="15"/>
      <c r="D36" s="15"/>
      <c r="E36" s="535"/>
      <c r="H36" s="12"/>
      <c r="I36" s="12"/>
      <c r="J36" s="110"/>
      <c r="K36" s="110"/>
      <c r="L36" s="110"/>
      <c r="M36" s="12"/>
      <c r="P36" s="110"/>
      <c r="Q36" s="110"/>
      <c r="R36" s="110"/>
      <c r="S36" s="12"/>
      <c r="U36" s="25"/>
      <c r="V36" s="12"/>
    </row>
    <row r="37" spans="2:22">
      <c r="B37" s="16"/>
      <c r="C37" s="15"/>
      <c r="D37" s="15"/>
      <c r="E37" s="535"/>
      <c r="J37" s="39"/>
      <c r="K37" s="39"/>
      <c r="P37" s="39"/>
      <c r="Q37" s="39"/>
      <c r="R37" s="39"/>
      <c r="U37" s="25"/>
    </row>
    <row r="38" spans="2:22">
      <c r="B38" s="16"/>
      <c r="C38" s="15"/>
      <c r="D38" s="15"/>
      <c r="E38" s="535"/>
      <c r="J38" s="39"/>
      <c r="K38" s="39"/>
      <c r="P38" s="39"/>
      <c r="Q38" s="39"/>
      <c r="R38" s="39"/>
      <c r="U38" s="25"/>
    </row>
    <row r="39" spans="2:22">
      <c r="E39" s="110"/>
      <c r="J39" s="39"/>
      <c r="K39" s="39"/>
      <c r="P39" s="39"/>
      <c r="Q39" s="39"/>
      <c r="R39" s="39"/>
    </row>
    <row r="40" spans="2:22">
      <c r="E40" s="110"/>
      <c r="J40" s="39"/>
      <c r="K40" s="39"/>
      <c r="P40" s="39"/>
      <c r="Q40" s="39"/>
      <c r="R40" s="39"/>
    </row>
    <row r="41" spans="2:22">
      <c r="E41" s="110"/>
      <c r="J41" s="39"/>
      <c r="K41" s="39"/>
      <c r="P41" s="39"/>
      <c r="Q41" s="39"/>
      <c r="R41" s="39"/>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1" xr:uid="{8D80B4DC-6E04-4014-9DEE-F1140D090844}">
      <formula1>Flow_units</formula1>
    </dataValidation>
    <dataValidation type="custom" allowBlank="1" showInputMessage="1" showErrorMessage="1" error="Please do not change this formula" prompt="Please do not change this formula" sqref="L1:L1048576 S6:S1048576 T4 M4 S1:S4 N1:O4 N6:O1048576 N5:S5" xr:uid="{8C07081E-5C34-4230-B715-F813AA0549FF}">
      <formula1>"Please do not change this formula"</formula1>
    </dataValidation>
  </dataValidations>
  <hyperlinks>
    <hyperlink ref="I2:J2" location="'Biomass Transport'!A1" display="Go to the next step of this pathway" xr:uid="{77ABACC9-2A6A-4FF2-9F22-863C7A3780DA}"/>
    <hyperlink ref="I2:K2" location="Biomass_Collection!A1" display="Go to the next step of this pathway" xr:uid="{23DB318D-ADA7-4F76-8654-DA173D549DBD}"/>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30" id="{1A31D338-1F8E-4C2C-B7AC-005007EF03E5}">
            <xm:f>AND(Initial_questions!$E$21&lt;&gt;"Biomass Gasification with CCS",Initial_questions!$E$21&lt;&gt;"Biomass Gasification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57" id="{E01E4553-8278-4D07-B3B4-29BD62A0A51E}">
            <xm:f>AND(Initial_questions!$E$62&lt;&gt;"Cereals and other starch-rich crops", Initial_questions!$E$62&lt;&gt;"Sugar crops", Initial_questions!$E$62&lt;&gt;"Oil crops", Initial_questions!$E$62&lt;&gt;"Other crop",Master_Switch="On")</xm:f>
            <x14:dxf>
              <font>
                <color theme="0"/>
              </font>
              <fill>
                <patternFill>
                  <bgColor theme="0"/>
                </patternFill>
              </fill>
              <border>
                <left/>
                <right/>
                <top/>
                <bottom/>
              </border>
            </x14:dxf>
          </x14:cfRule>
          <xm:sqref>A4:XFD100</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227F1-A303-4CFF-A3E2-2950B5DC72C4}">
  <sheetPr codeName="Sheet29">
    <tabColor rgb="FFCCFF66"/>
  </sheetPr>
  <dimension ref="A1:Z188"/>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IF(AND(Initial_questions!$E$21&lt;&gt;"Biomass Gasification with CCS",Initial_questions!$E$21&lt;&gt;"Biomass Gasification without CCS",Master_Switch="On"),"User should not fill in this sheet, but switch to other non-blank GHG worksheets","")</f>
        <v>User should not fill in this sheet, but switch to other non-blank GHG worksheets</v>
      </c>
      <c r="E1" s="262"/>
    </row>
    <row r="2" spans="1:26" ht="20.399999999999999" customHeight="1">
      <c r="B2" s="83" t="str">
        <f>IF(AND(GHG_BIOMASS_GASIFICATION!$D$5="Default",Master_Switch="On"),"Default data selected for this module, move to the next step of the pathway","")</f>
        <v/>
      </c>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679</v>
      </c>
      <c r="D8" s="183" t="s">
        <v>582</v>
      </c>
      <c r="E8" s="35"/>
      <c r="F8" s="24"/>
      <c r="G8" s="21"/>
      <c r="H8" s="20"/>
      <c r="I8" s="20"/>
      <c r="J8" s="307"/>
      <c r="K8" s="309"/>
      <c r="L8" s="247">
        <f t="shared" ref="L8:L17" si="0">IF($D8="MWh/yr (LHV)",$E8,$J8*$E8/Conversion_kWh_to_MJ)</f>
        <v>0</v>
      </c>
      <c r="M8" s="12"/>
      <c r="P8" s="110"/>
      <c r="Q8" s="110"/>
      <c r="R8" s="110"/>
      <c r="S8" s="12"/>
      <c r="U8" s="24"/>
      <c r="V8" s="12"/>
    </row>
    <row r="9" spans="1:26">
      <c r="B9" s="190" t="s">
        <v>592</v>
      </c>
      <c r="C9" s="188" t="s">
        <v>646</v>
      </c>
      <c r="D9" s="183" t="s">
        <v>747</v>
      </c>
      <c r="E9" s="35"/>
      <c r="F9" s="24"/>
      <c r="G9" s="21"/>
      <c r="H9" s="20"/>
      <c r="I9" s="36"/>
      <c r="J9" s="307"/>
      <c r="K9" s="309"/>
      <c r="L9" s="247">
        <f t="shared" si="0"/>
        <v>0</v>
      </c>
      <c r="M9" s="12"/>
      <c r="P9" s="35" t="str">
        <f>IF(B9="", "", IF(D9="MWh/yr (LHV)", "Use column to right", "Enter data here"))</f>
        <v>Use column to right</v>
      </c>
      <c r="Q9" s="35" t="e">
        <f>INDEX(Assumptions!$F$5:$AJ$5,1,MATCH(Initial_questions!$E$24,Assumptions!$F$4:$AJ$4,0))*1000/Conversion_kWh_to_MJ</f>
        <v>#N/A</v>
      </c>
      <c r="R9" s="35" t="s">
        <v>896</v>
      </c>
      <c r="S9" s="247" t="str">
        <f t="shared" ref="S9:S17" si="1">IFERROR(IF(D9="tonnes/yr", $P9*$E9/($L$20*3.6), $Q9*$E9*3.6/($L$20*3.6)), "Unfilled fields to left")</f>
        <v>Unfilled fields to left</v>
      </c>
      <c r="U9" s="25"/>
      <c r="V9" s="12"/>
    </row>
    <row r="10" spans="1:26">
      <c r="B10" s="190" t="s">
        <v>592</v>
      </c>
      <c r="C10" s="188"/>
      <c r="D10" s="183"/>
      <c r="E10" s="35"/>
      <c r="F10" s="24"/>
      <c r="G10" s="21"/>
      <c r="H10" s="20"/>
      <c r="I10" s="36"/>
      <c r="J10" s="307"/>
      <c r="K10" s="309"/>
      <c r="L10" s="247">
        <f t="shared" si="0"/>
        <v>0</v>
      </c>
      <c r="M10" s="12"/>
      <c r="P10" s="35" t="str">
        <f t="shared" ref="P10" si="2">IF(B10="", "", IF(D10="MWh/yr (LHV)", "Use column to right", "Enter data here"))</f>
        <v>Enter data here</v>
      </c>
      <c r="Q10" s="35" t="str">
        <f t="shared" ref="Q10" si="3">IF(B10="", "", IF(D10="MWh/yr (LHV)", "Enter data here", "Use column to left"))</f>
        <v>Use column to left</v>
      </c>
      <c r="R10" s="35" t="s">
        <v>898</v>
      </c>
      <c r="S10" s="247" t="str">
        <f t="shared" si="1"/>
        <v>Unfilled fields to left</v>
      </c>
      <c r="U10" s="25"/>
      <c r="V10" s="12"/>
    </row>
    <row r="11" spans="1:26">
      <c r="B11" s="190" t="s">
        <v>599</v>
      </c>
      <c r="C11" s="188" t="s">
        <v>600</v>
      </c>
      <c r="D11" s="183" t="s">
        <v>582</v>
      </c>
      <c r="E11" s="35"/>
      <c r="F11" s="35"/>
      <c r="G11" s="21"/>
      <c r="H11" s="20"/>
      <c r="I11" s="36"/>
      <c r="J11" s="307"/>
      <c r="K11" s="309"/>
      <c r="L11" s="247">
        <f t="shared" si="0"/>
        <v>0</v>
      </c>
      <c r="M11" s="12"/>
      <c r="P11" s="35" t="str">
        <f t="shared" ref="P11:P17" si="4">IF(B11="", "", IF(D11="MWh/yr (LHV)", "Use column to right", "Enter data here"))</f>
        <v>Enter data here</v>
      </c>
      <c r="Q11" s="35" t="str">
        <f t="shared" ref="Q11:Q17" si="5">IF(B11="", "", IF(D11="MWh/yr (LHV)", "Enter data here", "Use column to left"))</f>
        <v>Use column to left</v>
      </c>
      <c r="R11" s="35" t="s">
        <v>898</v>
      </c>
      <c r="S11" s="247" t="str">
        <f t="shared" si="1"/>
        <v>Unfilled fields to left</v>
      </c>
      <c r="T11" s="94"/>
      <c r="U11" s="25"/>
      <c r="V11" s="12"/>
    </row>
    <row r="12" spans="1:26">
      <c r="B12" s="190" t="s">
        <v>599</v>
      </c>
      <c r="C12" s="188" t="s">
        <v>601</v>
      </c>
      <c r="D12" s="183" t="s">
        <v>582</v>
      </c>
      <c r="E12" s="35"/>
      <c r="F12" s="21"/>
      <c r="G12" s="21"/>
      <c r="H12" s="20"/>
      <c r="I12" s="36"/>
      <c r="J12" s="307"/>
      <c r="K12" s="309"/>
      <c r="L12" s="247">
        <f t="shared" si="0"/>
        <v>0</v>
      </c>
      <c r="M12" s="12"/>
      <c r="P12" s="35" t="str">
        <f t="shared" si="4"/>
        <v>Enter data here</v>
      </c>
      <c r="Q12" s="35" t="str">
        <f t="shared" si="5"/>
        <v>Use column to left</v>
      </c>
      <c r="R12" s="35" t="s">
        <v>898</v>
      </c>
      <c r="S12" s="247" t="str">
        <f t="shared" si="1"/>
        <v>Unfilled fields to left</v>
      </c>
      <c r="U12" s="25"/>
      <c r="V12" s="12"/>
    </row>
    <row r="13" spans="1:26">
      <c r="B13" s="190" t="s">
        <v>605</v>
      </c>
      <c r="C13" s="188" t="s">
        <v>585</v>
      </c>
      <c r="D13" s="183" t="s">
        <v>582</v>
      </c>
      <c r="E13" s="35"/>
      <c r="F13" s="21"/>
      <c r="G13" s="21"/>
      <c r="H13" s="20"/>
      <c r="I13" s="36"/>
      <c r="J13" s="307"/>
      <c r="K13" s="309"/>
      <c r="L13" s="247">
        <f t="shared" si="0"/>
        <v>0</v>
      </c>
      <c r="M13" s="12"/>
      <c r="P13" s="35" t="str">
        <f t="shared" si="4"/>
        <v>Enter data here</v>
      </c>
      <c r="Q13" s="35" t="str">
        <f t="shared" si="5"/>
        <v>Use column to left</v>
      </c>
      <c r="R13" s="35" t="s">
        <v>898</v>
      </c>
      <c r="S13" s="247" t="str">
        <f t="shared" si="1"/>
        <v>Unfilled fields to left</v>
      </c>
      <c r="U13" s="25"/>
      <c r="V13" s="12"/>
    </row>
    <row r="14" spans="1:26">
      <c r="B14" s="190" t="s">
        <v>605</v>
      </c>
      <c r="C14" s="188" t="s">
        <v>635</v>
      </c>
      <c r="D14" s="183" t="s">
        <v>582</v>
      </c>
      <c r="E14" s="35"/>
      <c r="F14" s="21"/>
      <c r="G14" s="21"/>
      <c r="H14" s="20"/>
      <c r="I14" s="36"/>
      <c r="J14" s="307"/>
      <c r="K14" s="309"/>
      <c r="L14" s="247">
        <f t="shared" si="0"/>
        <v>0</v>
      </c>
      <c r="M14" s="12"/>
      <c r="P14" s="35" t="str">
        <f t="shared" si="4"/>
        <v>Enter data here</v>
      </c>
      <c r="Q14" s="35" t="str">
        <f t="shared" si="5"/>
        <v>Use column to left</v>
      </c>
      <c r="R14" s="35" t="s">
        <v>898</v>
      </c>
      <c r="S14" s="247" t="str">
        <f t="shared" si="1"/>
        <v>Unfilled fields to left</v>
      </c>
      <c r="U14" s="25"/>
      <c r="V14" s="12"/>
    </row>
    <row r="15" spans="1:26">
      <c r="B15" s="190" t="s">
        <v>657</v>
      </c>
      <c r="C15" s="188" t="s">
        <v>609</v>
      </c>
      <c r="D15" s="183" t="s">
        <v>582</v>
      </c>
      <c r="E15" s="35"/>
      <c r="F15" s="21"/>
      <c r="G15" s="21"/>
      <c r="H15" s="20"/>
      <c r="I15" s="36"/>
      <c r="J15" s="307"/>
      <c r="K15" s="309"/>
      <c r="L15" s="247">
        <f t="shared" si="0"/>
        <v>0</v>
      </c>
      <c r="M15" s="12"/>
      <c r="P15" s="35" t="str">
        <f t="shared" si="4"/>
        <v>Enter data here</v>
      </c>
      <c r="Q15" s="35" t="str">
        <f t="shared" si="5"/>
        <v>Use column to left</v>
      </c>
      <c r="R15" s="35" t="s">
        <v>898</v>
      </c>
      <c r="S15" s="247" t="str">
        <f t="shared" si="1"/>
        <v>Unfilled fields to left</v>
      </c>
      <c r="U15" s="25"/>
      <c r="V15" s="12"/>
    </row>
    <row r="16" spans="1:26">
      <c r="B16" s="190" t="s">
        <v>657</v>
      </c>
      <c r="C16" s="188" t="s">
        <v>677</v>
      </c>
      <c r="D16" s="183" t="s">
        <v>582</v>
      </c>
      <c r="E16" s="35"/>
      <c r="F16" s="21"/>
      <c r="G16" s="21"/>
      <c r="H16" s="20"/>
      <c r="I16" s="36"/>
      <c r="J16" s="307"/>
      <c r="K16" s="309"/>
      <c r="L16" s="247">
        <f t="shared" si="0"/>
        <v>0</v>
      </c>
      <c r="M16" s="12"/>
      <c r="P16" s="35" t="str">
        <f t="shared" si="4"/>
        <v>Enter data here</v>
      </c>
      <c r="Q16" s="35" t="str">
        <f t="shared" si="5"/>
        <v>Use column to left</v>
      </c>
      <c r="R16" s="35" t="s">
        <v>898</v>
      </c>
      <c r="S16" s="247" t="str">
        <f t="shared" si="1"/>
        <v>Unfilled fields to left</v>
      </c>
      <c r="U16" s="25"/>
      <c r="V16" s="12"/>
    </row>
    <row r="17" spans="2:26">
      <c r="B17" s="16"/>
      <c r="C17" s="15"/>
      <c r="D17" s="183"/>
      <c r="E17" s="35"/>
      <c r="F17" s="21"/>
      <c r="G17" s="21"/>
      <c r="H17" s="20"/>
      <c r="I17" s="36"/>
      <c r="J17" s="307"/>
      <c r="K17" s="309"/>
      <c r="L17" s="247">
        <f t="shared" si="0"/>
        <v>0</v>
      </c>
      <c r="M17" s="12"/>
      <c r="P17" s="35" t="str">
        <f t="shared" si="4"/>
        <v/>
      </c>
      <c r="Q17" s="35" t="str">
        <f t="shared" si="5"/>
        <v/>
      </c>
      <c r="R17" s="35"/>
      <c r="S17" s="247" t="str">
        <f t="shared" si="1"/>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829</v>
      </c>
      <c r="D20" s="183" t="s">
        <v>582</v>
      </c>
      <c r="E20" s="35"/>
      <c r="F20" s="21"/>
      <c r="G20" s="21"/>
      <c r="H20" s="21"/>
      <c r="I20" s="21"/>
      <c r="J20" s="307"/>
      <c r="K20" s="313"/>
      <c r="L20" s="247">
        <f t="shared" ref="L20:L31" si="6">IF($D20="MWh/yr (LHV)",$E20,$J20*$E20/Conversion_kWh_to_MJ)</f>
        <v>0</v>
      </c>
      <c r="N20" s="251" t="str">
        <f>IFERROR(L20/L8,"")</f>
        <v/>
      </c>
      <c r="O20" s="250" t="str">
        <f>IFERROR(L20/(SUM($L$20:$L$22)),"")</f>
        <v/>
      </c>
      <c r="P20" s="42"/>
      <c r="Q20" s="42"/>
      <c r="R20" s="42"/>
      <c r="S20" s="42"/>
      <c r="U20" s="21"/>
      <c r="V20" s="12"/>
    </row>
    <row r="21" spans="2:26" s="14" customFormat="1">
      <c r="B21" s="190" t="s">
        <v>583</v>
      </c>
      <c r="C21" s="188" t="s">
        <v>804</v>
      </c>
      <c r="D21" s="183" t="s">
        <v>582</v>
      </c>
      <c r="E21" s="35"/>
      <c r="F21" s="21"/>
      <c r="G21" s="21"/>
      <c r="H21" s="20"/>
      <c r="I21" s="33"/>
      <c r="J21" s="307"/>
      <c r="K21" s="309"/>
      <c r="L21" s="247">
        <f t="shared" si="6"/>
        <v>0</v>
      </c>
      <c r="M21" s="12"/>
      <c r="N21" s="12"/>
      <c r="O21" s="250" t="str">
        <f t="shared" ref="O21:O22" si="7">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6"/>
        <v>0</v>
      </c>
      <c r="M22" s="12"/>
      <c r="N22" s="12"/>
      <c r="O22" s="250" t="str">
        <f t="shared" si="7"/>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6"/>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6"/>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6"/>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6"/>
        <v>0</v>
      </c>
      <c r="M26" s="12"/>
      <c r="N26" s="12"/>
      <c r="O26" s="12"/>
      <c r="P26" s="110"/>
      <c r="Q26" s="110"/>
      <c r="R26" s="110"/>
      <c r="S26" s="12"/>
      <c r="U26" s="21"/>
    </row>
    <row r="27" spans="2:26" s="14" customFormat="1">
      <c r="B27" s="190" t="s">
        <v>611</v>
      </c>
      <c r="C27" s="188" t="s">
        <v>820</v>
      </c>
      <c r="D27" s="183" t="s">
        <v>582</v>
      </c>
      <c r="E27" s="35"/>
      <c r="F27" s="34"/>
      <c r="G27" s="21"/>
      <c r="H27" s="20"/>
      <c r="I27" s="36"/>
      <c r="J27" s="307"/>
      <c r="K27" s="309"/>
      <c r="L27" s="247">
        <f t="shared" si="6"/>
        <v>0</v>
      </c>
      <c r="M27" s="12"/>
      <c r="N27" s="12"/>
      <c r="O27" s="12"/>
      <c r="P27" s="307">
        <v>1000</v>
      </c>
      <c r="Q27" s="505"/>
      <c r="R27" s="35" t="s">
        <v>821</v>
      </c>
      <c r="S27" s="247"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6"/>
        <v>0</v>
      </c>
      <c r="M28" s="12"/>
      <c r="N28" s="12"/>
      <c r="O28" s="12"/>
      <c r="P28" s="307">
        <f>28*1000</f>
        <v>28000</v>
      </c>
      <c r="Q28" s="505"/>
      <c r="R28" s="35" t="s">
        <v>651</v>
      </c>
      <c r="S28" s="247" t="str">
        <f>IFERROR(IF(D28="tonnes/yr", $P28*$E28/($L$20*3.6), $Q28*$E28*3.6/($L$20*3.6)), "Unfilled fields to left")</f>
        <v>Unfilled fields to left</v>
      </c>
      <c r="U28" s="21"/>
    </row>
    <row r="29" spans="2:26" s="14" customFormat="1">
      <c r="B29" s="190" t="s">
        <v>640</v>
      </c>
      <c r="C29" s="188" t="s">
        <v>824</v>
      </c>
      <c r="D29" s="183" t="s">
        <v>582</v>
      </c>
      <c r="E29" s="35"/>
      <c r="F29" s="24"/>
      <c r="G29" s="21"/>
      <c r="H29" s="20"/>
      <c r="I29" s="36"/>
      <c r="J29" s="307"/>
      <c r="K29" s="309"/>
      <c r="L29" s="247">
        <f t="shared" si="6"/>
        <v>0</v>
      </c>
      <c r="M29" s="12"/>
      <c r="N29" s="12"/>
      <c r="O29" s="12"/>
      <c r="P29" s="307">
        <f>265*1000</f>
        <v>265000</v>
      </c>
      <c r="Q29" s="505"/>
      <c r="R29" s="35" t="s">
        <v>651</v>
      </c>
      <c r="S29" s="247"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6"/>
        <v>0</v>
      </c>
      <c r="M30" s="12"/>
      <c r="N30" s="12"/>
      <c r="O30" s="12"/>
      <c r="P30" s="307"/>
      <c r="Q30" s="505"/>
      <c r="R30" s="309"/>
      <c r="S30" s="247" t="str">
        <f>IFERROR(IF(D30="tonnes/yr", $P30*$E30/($L$20*3.6), $Q30*$E30*3.6/($L$20*3.6)), "Unfilled fields to left")</f>
        <v>Unfilled fields to left</v>
      </c>
      <c r="U30" s="21"/>
    </row>
    <row r="31" spans="2:26" s="14" customFormat="1">
      <c r="B31" s="16"/>
      <c r="C31" s="15"/>
      <c r="D31" s="183"/>
      <c r="E31" s="35"/>
      <c r="F31" s="21"/>
      <c r="G31" s="21"/>
      <c r="H31" s="20"/>
      <c r="I31" s="36"/>
      <c r="J31" s="307"/>
      <c r="K31" s="309"/>
      <c r="L31" s="247">
        <f t="shared" si="6"/>
        <v>0</v>
      </c>
      <c r="M31" s="12"/>
      <c r="N31" s="12"/>
      <c r="O31" s="12"/>
      <c r="P31" s="307"/>
      <c r="Q31" s="505"/>
      <c r="R31" s="309"/>
      <c r="S31" s="247"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40"/>
      <c r="V32" s="12"/>
    </row>
    <row r="33" spans="2:22">
      <c r="D33" s="17"/>
      <c r="E33" s="144"/>
      <c r="J33" s="39"/>
      <c r="K33" s="39"/>
      <c r="M33" s="12"/>
      <c r="P33" s="39"/>
      <c r="Q33" s="39"/>
      <c r="R33" s="38" t="s">
        <v>641</v>
      </c>
      <c r="S33" s="157">
        <f>SUM(S7:S32)</f>
        <v>0</v>
      </c>
      <c r="V33" s="12"/>
    </row>
    <row r="34" spans="2:22">
      <c r="B34" s="149" t="s">
        <v>94</v>
      </c>
      <c r="C34" s="163"/>
      <c r="D34" s="163"/>
      <c r="E34" s="527"/>
      <c r="I34" s="12"/>
      <c r="J34" s="110"/>
      <c r="K34" s="110"/>
      <c r="L34" s="110"/>
      <c r="M34" s="12"/>
      <c r="P34" s="110"/>
      <c r="Q34" s="110"/>
      <c r="R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c r="C36" s="15"/>
      <c r="D36" s="15"/>
      <c r="E36" s="535"/>
      <c r="H36" s="12"/>
      <c r="I36" s="12"/>
      <c r="J36" s="110"/>
      <c r="K36" s="110"/>
      <c r="L36" s="110"/>
      <c r="M36" s="12"/>
      <c r="P36" s="110"/>
      <c r="Q36" s="110"/>
      <c r="R36" s="110"/>
      <c r="S36" s="12"/>
      <c r="U36" s="25"/>
      <c r="V36" s="12"/>
    </row>
    <row r="37" spans="2:22">
      <c r="B37" s="16"/>
      <c r="C37" s="15"/>
      <c r="D37" s="15"/>
      <c r="E37" s="535"/>
      <c r="J37" s="39"/>
      <c r="K37" s="39"/>
      <c r="P37" s="39"/>
      <c r="Q37" s="39"/>
      <c r="R37" s="39"/>
      <c r="U37" s="25"/>
    </row>
    <row r="38" spans="2:22">
      <c r="B38" s="16"/>
      <c r="C38" s="15"/>
      <c r="D38" s="15"/>
      <c r="E38" s="535"/>
      <c r="J38" s="39"/>
      <c r="K38" s="39"/>
      <c r="P38" s="39"/>
      <c r="Q38" s="39"/>
      <c r="R38" s="39"/>
      <c r="U38" s="25"/>
    </row>
    <row r="39" spans="2:22">
      <c r="E39" s="110"/>
      <c r="J39" s="39"/>
      <c r="K39" s="39"/>
      <c r="P39" s="39"/>
      <c r="Q39" s="39"/>
      <c r="R39" s="39"/>
    </row>
    <row r="40" spans="2:22">
      <c r="E40" s="110"/>
      <c r="J40" s="39"/>
      <c r="K40" s="39"/>
      <c r="P40" s="39"/>
      <c r="Q40" s="39"/>
      <c r="R40" s="39"/>
    </row>
    <row r="41" spans="2:22">
      <c r="E41" s="110"/>
      <c r="J41" s="39"/>
      <c r="K41" s="39"/>
      <c r="P41" s="39"/>
      <c r="Q41" s="39"/>
      <c r="R41" s="39"/>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1" xr:uid="{D7F5CBA1-1FD5-4B22-8842-6C224FBB1F68}">
      <formula1>Flow_units</formula1>
    </dataValidation>
    <dataValidation type="custom" allowBlank="1" showInputMessage="1" showErrorMessage="1" error="Please do not change this formula" prompt="Please do not change this formula" sqref="L1:L1048576 S6:S1048576 T4 M4 S1:S4 N1:O4 N6:O1048576 N5:S5" xr:uid="{9F9BAB33-8EE8-4900-A0D7-4C648EB00C5D}">
      <formula1>"Please do not change this formula"</formula1>
    </dataValidation>
  </dataValidations>
  <hyperlinks>
    <hyperlink ref="I2:J2" location="'Biomass Transport'!A1" display="Go to the next step of this pathway" xr:uid="{3728A8DB-5383-4307-95D3-03EC834182FC}"/>
    <hyperlink ref="I2:K2" location="Biomass_Transport!A1" display="Go to the next step of this pathway" xr:uid="{2086B946-7A55-4314-BCB5-0308CAC63770}"/>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1" id="{D0BDDD4F-C891-42EF-9E3D-1EC0A3314755}">
            <xm:f>AND(Initial_questions!$E$21&lt;&gt;"Biomass Gasification with CCS",Initial_questions!$E$21&lt;&gt;"Biomass Gasification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3" id="{FBD75D62-E16E-4CD3-B649-77F64B781270}">
            <xm:f>AND(GHG_BIOMASS_GASIFICATION!$D$5="Default",Master_Switch="On")</xm:f>
            <x14:dxf>
              <font>
                <color theme="0"/>
              </font>
              <fill>
                <patternFill>
                  <bgColor theme="0"/>
                </patternFill>
              </fill>
              <border>
                <left/>
                <right/>
                <top/>
                <bottom/>
                <vertical/>
                <horizontal/>
              </border>
            </x14:dxf>
          </x14:cfRule>
          <xm:sqref>A4:XFD100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D81A-B7D5-4DDE-9AFB-A046C724DD3E}">
  <sheetPr codeName="Sheet30">
    <tabColor rgb="FFCCFF66"/>
  </sheetPr>
  <dimension ref="A1:Z188"/>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IF(AND(Initial_questions!$E$21&lt;&gt;"Biomass Gasification with CCS",Initial_questions!$E$21&lt;&gt;"Biomass Gasification without CCS",Master_Switch="On"),"User should not fill in this sheet, but switch to other non-blank GHG worksheets","")</f>
        <v>User should not fill in this sheet, but switch to other non-blank GHG worksheets</v>
      </c>
      <c r="E1" s="262"/>
    </row>
    <row r="2" spans="1:26" ht="20.399999999999999" customHeight="1">
      <c r="B2" s="83" t="str">
        <f>IF(AND(GHG_BIOMASS_GASIFICATION!$D$5="Default",Master_Switch="On"),"Default data selected for this module, move to the next step of the pathway","")</f>
        <v/>
      </c>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829</v>
      </c>
      <c r="D8" s="183" t="s">
        <v>582</v>
      </c>
      <c r="E8" s="35"/>
      <c r="F8" s="21"/>
      <c r="G8" s="21"/>
      <c r="H8" s="20"/>
      <c r="I8" s="20"/>
      <c r="J8" s="307"/>
      <c r="K8" s="309"/>
      <c r="L8" s="247">
        <f t="shared" ref="L8:L17" si="0">IF($D8="MWh/yr (LHV)",$E8,$J8*$E8/Conversion_kWh_to_MJ)</f>
        <v>0</v>
      </c>
      <c r="M8" s="12"/>
      <c r="P8" s="110"/>
      <c r="Q8" s="110"/>
      <c r="R8" s="110"/>
      <c r="S8" s="12"/>
      <c r="U8" s="24"/>
      <c r="V8" s="12"/>
    </row>
    <row r="9" spans="1:26">
      <c r="B9" s="190" t="s">
        <v>592</v>
      </c>
      <c r="C9" s="188" t="s">
        <v>646</v>
      </c>
      <c r="D9" s="183" t="s">
        <v>747</v>
      </c>
      <c r="E9" s="35"/>
      <c r="F9" s="21"/>
      <c r="G9" s="21"/>
      <c r="H9" s="20"/>
      <c r="I9" s="36"/>
      <c r="J9" s="307"/>
      <c r="K9" s="309"/>
      <c r="L9" s="247">
        <f t="shared" si="0"/>
        <v>0</v>
      </c>
      <c r="M9" s="12"/>
      <c r="P9" s="35" t="str">
        <f>IF(B9="", "", IF(D9="MWh/yr (LHV)", "Use column to right", "Enter data here"))</f>
        <v>Use column to right</v>
      </c>
      <c r="Q9" s="35" t="e">
        <f>INDEX(Assumptions!$F$5:$AJ$5,1,MATCH(Initial_questions!$E$24,Assumptions!$F$4:$AJ$4,0))*1000/Conversion_kWh_to_MJ</f>
        <v>#N/A</v>
      </c>
      <c r="R9" s="35" t="s">
        <v>896</v>
      </c>
      <c r="S9" s="247" t="str">
        <f t="shared" ref="S9:S17" si="1">IFERROR(IF(D9="tonnes/yr", $P9*$E9/($L$20*3.6), $Q9*$E9*3.6/($L$20*3.6)), "Unfilled fields to left")</f>
        <v>Unfilled fields to left</v>
      </c>
      <c r="U9" s="25"/>
      <c r="V9" s="12"/>
    </row>
    <row r="10" spans="1:26">
      <c r="B10" s="190" t="s">
        <v>592</v>
      </c>
      <c r="C10" s="188"/>
      <c r="D10" s="183"/>
      <c r="E10" s="35"/>
      <c r="F10" s="21"/>
      <c r="G10" s="21"/>
      <c r="H10" s="20"/>
      <c r="I10" s="36"/>
      <c r="J10" s="307"/>
      <c r="K10" s="309"/>
      <c r="L10" s="247">
        <f t="shared" si="0"/>
        <v>0</v>
      </c>
      <c r="M10" s="12"/>
      <c r="P10" s="35" t="str">
        <f t="shared" ref="P10" si="2">IF(B10="", "", IF(D10="MWh/yr (LHV)", "Use column to right", "Enter data here"))</f>
        <v>Enter data here</v>
      </c>
      <c r="Q10" s="35" t="str">
        <f t="shared" ref="Q10" si="3">IF(B10="", "", IF(D10="MWh/yr (LHV)", "Enter data here", "Use column to left"))</f>
        <v>Use column to left</v>
      </c>
      <c r="R10" s="35" t="s">
        <v>898</v>
      </c>
      <c r="S10" s="247" t="str">
        <f t="shared" si="1"/>
        <v>Unfilled fields to left</v>
      </c>
      <c r="U10" s="25"/>
      <c r="V10" s="12"/>
    </row>
    <row r="11" spans="1:26">
      <c r="B11" s="190" t="s">
        <v>599</v>
      </c>
      <c r="C11" s="188" t="s">
        <v>600</v>
      </c>
      <c r="D11" s="183" t="s">
        <v>582</v>
      </c>
      <c r="E11" s="35"/>
      <c r="F11" s="24"/>
      <c r="G11" s="21"/>
      <c r="H11" s="20"/>
      <c r="I11" s="36"/>
      <c r="J11" s="307"/>
      <c r="K11" s="309"/>
      <c r="L11" s="247">
        <f t="shared" si="0"/>
        <v>0</v>
      </c>
      <c r="M11" s="12"/>
      <c r="P11" s="35" t="str">
        <f t="shared" ref="P11:P17" si="4">IF(B11="", "", IF(D11="MWh/yr (LHV)", "Use column to right", "Enter data here"))</f>
        <v>Enter data here</v>
      </c>
      <c r="Q11" s="35" t="str">
        <f t="shared" ref="Q11:Q17" si="5">IF(B11="", "", IF(D11="MWh/yr (LHV)", "Enter data here", "Use column to left"))</f>
        <v>Use column to left</v>
      </c>
      <c r="R11" s="35" t="s">
        <v>898</v>
      </c>
      <c r="S11" s="247" t="str">
        <f t="shared" si="1"/>
        <v>Unfilled fields to left</v>
      </c>
      <c r="T11" s="94"/>
      <c r="U11" s="25"/>
      <c r="V11" s="12"/>
    </row>
    <row r="12" spans="1:26">
      <c r="B12" s="190" t="s">
        <v>599</v>
      </c>
      <c r="C12" s="188" t="s">
        <v>601</v>
      </c>
      <c r="D12" s="183" t="s">
        <v>582</v>
      </c>
      <c r="E12" s="35"/>
      <c r="F12" s="21"/>
      <c r="G12" s="21"/>
      <c r="H12" s="20"/>
      <c r="I12" s="36"/>
      <c r="J12" s="307"/>
      <c r="K12" s="309"/>
      <c r="L12" s="247">
        <f t="shared" si="0"/>
        <v>0</v>
      </c>
      <c r="M12" s="12"/>
      <c r="P12" s="35" t="str">
        <f t="shared" si="4"/>
        <v>Enter data here</v>
      </c>
      <c r="Q12" s="35" t="str">
        <f t="shared" si="5"/>
        <v>Use column to left</v>
      </c>
      <c r="R12" s="35" t="s">
        <v>898</v>
      </c>
      <c r="S12" s="247" t="str">
        <f t="shared" si="1"/>
        <v>Unfilled fields to left</v>
      </c>
      <c r="U12" s="25"/>
      <c r="V12" s="12"/>
    </row>
    <row r="13" spans="1:26">
      <c r="B13" s="190" t="s">
        <v>605</v>
      </c>
      <c r="C13" s="188" t="s">
        <v>585</v>
      </c>
      <c r="D13" s="183" t="s">
        <v>582</v>
      </c>
      <c r="E13" s="35"/>
      <c r="F13" s="21"/>
      <c r="G13" s="21"/>
      <c r="H13" s="20"/>
      <c r="I13" s="36"/>
      <c r="J13" s="307"/>
      <c r="K13" s="309"/>
      <c r="L13" s="247">
        <f t="shared" si="0"/>
        <v>0</v>
      </c>
      <c r="M13" s="12"/>
      <c r="P13" s="35" t="str">
        <f t="shared" si="4"/>
        <v>Enter data here</v>
      </c>
      <c r="Q13" s="35" t="str">
        <f t="shared" si="5"/>
        <v>Use column to left</v>
      </c>
      <c r="R13" s="35" t="s">
        <v>898</v>
      </c>
      <c r="S13" s="247" t="str">
        <f t="shared" si="1"/>
        <v>Unfilled fields to left</v>
      </c>
      <c r="U13" s="25"/>
      <c r="V13" s="12"/>
    </row>
    <row r="14" spans="1:26">
      <c r="B14" s="190" t="s">
        <v>605</v>
      </c>
      <c r="C14" s="188" t="s">
        <v>635</v>
      </c>
      <c r="D14" s="183" t="s">
        <v>582</v>
      </c>
      <c r="E14" s="35"/>
      <c r="F14" s="21"/>
      <c r="G14" s="21"/>
      <c r="H14" s="20"/>
      <c r="I14" s="36"/>
      <c r="J14" s="307"/>
      <c r="K14" s="309"/>
      <c r="L14" s="247">
        <f t="shared" si="0"/>
        <v>0</v>
      </c>
      <c r="M14" s="12"/>
      <c r="P14" s="35" t="str">
        <f t="shared" si="4"/>
        <v>Enter data here</v>
      </c>
      <c r="Q14" s="35" t="str">
        <f t="shared" si="5"/>
        <v>Use column to left</v>
      </c>
      <c r="R14" s="35" t="s">
        <v>898</v>
      </c>
      <c r="S14" s="247" t="str">
        <f t="shared" si="1"/>
        <v>Unfilled fields to left</v>
      </c>
      <c r="U14" s="25"/>
      <c r="V14" s="12"/>
    </row>
    <row r="15" spans="1:26">
      <c r="B15" s="190" t="s">
        <v>657</v>
      </c>
      <c r="C15" s="188" t="s">
        <v>609</v>
      </c>
      <c r="D15" s="183" t="s">
        <v>582</v>
      </c>
      <c r="E15" s="35"/>
      <c r="F15" s="21"/>
      <c r="G15" s="21"/>
      <c r="H15" s="20"/>
      <c r="I15" s="36"/>
      <c r="J15" s="307"/>
      <c r="K15" s="309"/>
      <c r="L15" s="247">
        <f t="shared" si="0"/>
        <v>0</v>
      </c>
      <c r="M15" s="12"/>
      <c r="P15" s="35" t="str">
        <f t="shared" si="4"/>
        <v>Enter data here</v>
      </c>
      <c r="Q15" s="35" t="str">
        <f t="shared" si="5"/>
        <v>Use column to left</v>
      </c>
      <c r="R15" s="35" t="s">
        <v>898</v>
      </c>
      <c r="S15" s="247" t="str">
        <f t="shared" si="1"/>
        <v>Unfilled fields to left</v>
      </c>
      <c r="U15" s="25"/>
      <c r="V15" s="12"/>
    </row>
    <row r="16" spans="1:26">
      <c r="B16" s="190" t="s">
        <v>657</v>
      </c>
      <c r="C16" s="188" t="s">
        <v>677</v>
      </c>
      <c r="D16" s="183" t="s">
        <v>582</v>
      </c>
      <c r="E16" s="35"/>
      <c r="F16" s="21"/>
      <c r="G16" s="21"/>
      <c r="H16" s="20"/>
      <c r="I16" s="36"/>
      <c r="J16" s="307"/>
      <c r="K16" s="309"/>
      <c r="L16" s="247">
        <f t="shared" si="0"/>
        <v>0</v>
      </c>
      <c r="M16" s="12"/>
      <c r="P16" s="35" t="str">
        <f t="shared" si="4"/>
        <v>Enter data here</v>
      </c>
      <c r="Q16" s="35" t="str">
        <f t="shared" si="5"/>
        <v>Use column to left</v>
      </c>
      <c r="R16" s="35" t="s">
        <v>898</v>
      </c>
      <c r="S16" s="247" t="str">
        <f t="shared" si="1"/>
        <v>Unfilled fields to left</v>
      </c>
      <c r="U16" s="25"/>
      <c r="V16" s="12"/>
    </row>
    <row r="17" spans="2:26">
      <c r="B17" s="16"/>
      <c r="C17" s="15"/>
      <c r="D17" s="183"/>
      <c r="E17" s="35"/>
      <c r="F17" s="21"/>
      <c r="G17" s="21"/>
      <c r="H17" s="20"/>
      <c r="I17" s="36"/>
      <c r="J17" s="307"/>
      <c r="K17" s="309"/>
      <c r="L17" s="247">
        <f t="shared" si="0"/>
        <v>0</v>
      </c>
      <c r="M17" s="12"/>
      <c r="P17" s="35" t="str">
        <f t="shared" si="4"/>
        <v/>
      </c>
      <c r="Q17" s="35" t="str">
        <f t="shared" si="5"/>
        <v/>
      </c>
      <c r="R17" s="35"/>
      <c r="S17" s="247" t="str">
        <f t="shared" si="1"/>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829</v>
      </c>
      <c r="D20" s="183" t="s">
        <v>582</v>
      </c>
      <c r="E20" s="35"/>
      <c r="F20" s="21"/>
      <c r="G20" s="21"/>
      <c r="H20" s="21"/>
      <c r="I20" s="21"/>
      <c r="J20" s="307"/>
      <c r="K20" s="313"/>
      <c r="L20" s="247">
        <f t="shared" ref="L20:L31" si="6">IF($D20="MWh/yr (LHV)",$E20,$J20*$E20/Conversion_kWh_to_MJ)</f>
        <v>0</v>
      </c>
      <c r="N20" s="251" t="str">
        <f>IFERROR(L20/L8,"")</f>
        <v/>
      </c>
      <c r="O20" s="250" t="str">
        <f>IFERROR(L20/(SUM($L$20:$L$22)),"")</f>
        <v/>
      </c>
      <c r="P20" s="42"/>
      <c r="Q20" s="42"/>
      <c r="R20" s="42"/>
      <c r="S20" s="42"/>
      <c r="U20" s="21"/>
      <c r="V20" s="12"/>
    </row>
    <row r="21" spans="2:26" s="14" customFormat="1">
      <c r="B21" s="190" t="s">
        <v>583</v>
      </c>
      <c r="C21" s="188" t="s">
        <v>804</v>
      </c>
      <c r="D21" s="183" t="s">
        <v>582</v>
      </c>
      <c r="E21" s="35"/>
      <c r="F21" s="21"/>
      <c r="G21" s="21"/>
      <c r="H21" s="20"/>
      <c r="I21" s="33"/>
      <c r="J21" s="307"/>
      <c r="K21" s="309"/>
      <c r="L21" s="247">
        <f t="shared" si="6"/>
        <v>0</v>
      </c>
      <c r="M21" s="12"/>
      <c r="N21" s="12"/>
      <c r="O21" s="250" t="str">
        <f t="shared" ref="O21:O22" si="7">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6"/>
        <v>0</v>
      </c>
      <c r="M22" s="12"/>
      <c r="N22" s="12"/>
      <c r="O22" s="250" t="str">
        <f t="shared" si="7"/>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6"/>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6"/>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6"/>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6"/>
        <v>0</v>
      </c>
      <c r="M26" s="12"/>
      <c r="N26" s="12"/>
      <c r="O26" s="12"/>
      <c r="P26" s="110"/>
      <c r="Q26" s="110"/>
      <c r="R26" s="110"/>
      <c r="S26" s="12"/>
      <c r="U26" s="21"/>
    </row>
    <row r="27" spans="2:26" s="14" customFormat="1">
      <c r="B27" s="190" t="s">
        <v>611</v>
      </c>
      <c r="C27" s="188" t="s">
        <v>820</v>
      </c>
      <c r="D27" s="183" t="s">
        <v>582</v>
      </c>
      <c r="E27" s="35"/>
      <c r="F27" s="34"/>
      <c r="G27" s="21"/>
      <c r="H27" s="20"/>
      <c r="I27" s="36"/>
      <c r="J27" s="307"/>
      <c r="K27" s="309"/>
      <c r="L27" s="247">
        <f t="shared" si="6"/>
        <v>0</v>
      </c>
      <c r="M27" s="12"/>
      <c r="N27" s="12"/>
      <c r="O27" s="12"/>
      <c r="P27" s="35">
        <v>1000</v>
      </c>
      <c r="Q27" s="546"/>
      <c r="R27" s="35" t="s">
        <v>821</v>
      </c>
      <c r="S27" s="247"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6"/>
        <v>0</v>
      </c>
      <c r="M28" s="12"/>
      <c r="N28" s="12"/>
      <c r="O28" s="12"/>
      <c r="P28" s="35">
        <v>28000</v>
      </c>
      <c r="Q28" s="546"/>
      <c r="R28" s="35" t="s">
        <v>651</v>
      </c>
      <c r="S28" s="247" t="str">
        <f>IFERROR(IF(D28="tonnes/yr", $P28*$E28/($L$20*3.6), $Q28*$E28*3.6/($L$20*3.6)), "Unfilled fields to left")</f>
        <v>Unfilled fields to left</v>
      </c>
      <c r="U28" s="21"/>
    </row>
    <row r="29" spans="2:26" s="14" customFormat="1">
      <c r="B29" s="190" t="s">
        <v>640</v>
      </c>
      <c r="C29" s="188" t="s">
        <v>824</v>
      </c>
      <c r="D29" s="183" t="s">
        <v>582</v>
      </c>
      <c r="E29" s="35"/>
      <c r="F29" s="21"/>
      <c r="G29" s="21"/>
      <c r="H29" s="20"/>
      <c r="I29" s="36"/>
      <c r="J29" s="307"/>
      <c r="K29" s="309"/>
      <c r="L29" s="247">
        <f t="shared" si="6"/>
        <v>0</v>
      </c>
      <c r="M29" s="12"/>
      <c r="N29" s="12"/>
      <c r="O29" s="12"/>
      <c r="P29" s="35">
        <v>265000</v>
      </c>
      <c r="Q29" s="546"/>
      <c r="R29" s="35" t="s">
        <v>651</v>
      </c>
      <c r="S29" s="247"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6"/>
        <v>0</v>
      </c>
      <c r="M30" s="12"/>
      <c r="N30" s="12"/>
      <c r="O30" s="12"/>
      <c r="P30" s="307"/>
      <c r="Q30" s="505"/>
      <c r="R30" s="309"/>
      <c r="S30" s="247" t="str">
        <f>IFERROR(IF(D30="tonnes/yr", $P30*$E30/($L$20*3.6), $Q30*$E30*3.6/($L$20*3.6)), "Unfilled fields to left")</f>
        <v>Unfilled fields to left</v>
      </c>
      <c r="U30" s="21"/>
    </row>
    <row r="31" spans="2:26" s="14" customFormat="1">
      <c r="B31" s="16"/>
      <c r="C31" s="15"/>
      <c r="D31" s="183"/>
      <c r="E31" s="35"/>
      <c r="F31" s="21"/>
      <c r="G31" s="21"/>
      <c r="H31" s="20"/>
      <c r="I31" s="36"/>
      <c r="J31" s="307"/>
      <c r="K31" s="309"/>
      <c r="L31" s="247">
        <f t="shared" si="6"/>
        <v>0</v>
      </c>
      <c r="M31" s="12"/>
      <c r="N31" s="12"/>
      <c r="O31" s="12"/>
      <c r="P31" s="307"/>
      <c r="Q31" s="505"/>
      <c r="R31" s="309"/>
      <c r="S31" s="247"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40"/>
      <c r="V32" s="12"/>
    </row>
    <row r="33" spans="2:22">
      <c r="D33" s="17"/>
      <c r="E33" s="144"/>
      <c r="J33" s="39"/>
      <c r="K33" s="39"/>
      <c r="M33" s="12"/>
      <c r="P33" s="39"/>
      <c r="Q33" s="39"/>
      <c r="R33" s="38" t="s">
        <v>641</v>
      </c>
      <c r="S33" s="157">
        <f>SUM(S7:S32)</f>
        <v>0</v>
      </c>
      <c r="V33" s="12"/>
    </row>
    <row r="34" spans="2:22">
      <c r="B34" s="149" t="s">
        <v>94</v>
      </c>
      <c r="C34" s="163"/>
      <c r="D34" s="163"/>
      <c r="E34" s="527"/>
      <c r="I34" s="12"/>
      <c r="J34" s="110"/>
      <c r="K34" s="110"/>
      <c r="L34" s="110"/>
      <c r="M34" s="12"/>
      <c r="P34" s="110"/>
      <c r="Q34" s="110"/>
      <c r="R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t="s">
        <v>709</v>
      </c>
      <c r="C36" s="15" t="s">
        <v>710</v>
      </c>
      <c r="D36" s="15" t="s">
        <v>222</v>
      </c>
      <c r="E36" s="529"/>
      <c r="H36" s="12"/>
      <c r="I36" s="12"/>
      <c r="J36" s="110"/>
      <c r="K36" s="110"/>
      <c r="L36" s="110"/>
      <c r="M36" s="12"/>
      <c r="P36" s="110"/>
      <c r="Q36" s="110"/>
      <c r="R36" s="110"/>
      <c r="S36" s="12"/>
      <c r="U36" s="25"/>
      <c r="V36" s="12"/>
    </row>
    <row r="37" spans="2:22">
      <c r="B37" s="16"/>
      <c r="C37" s="15"/>
      <c r="D37" s="15"/>
      <c r="E37" s="535"/>
      <c r="J37" s="39"/>
      <c r="K37" s="39"/>
      <c r="P37" s="39"/>
      <c r="Q37" s="39"/>
      <c r="R37" s="39"/>
      <c r="U37" s="25"/>
    </row>
    <row r="38" spans="2:22">
      <c r="B38" s="16"/>
      <c r="C38" s="15"/>
      <c r="D38" s="15"/>
      <c r="E38" s="535"/>
      <c r="J38" s="39"/>
      <c r="K38" s="39"/>
      <c r="P38" s="39"/>
      <c r="Q38" s="39"/>
      <c r="R38" s="39"/>
      <c r="U38" s="25"/>
    </row>
    <row r="39" spans="2:22">
      <c r="E39" s="110"/>
      <c r="J39" s="39"/>
      <c r="K39" s="39"/>
      <c r="P39" s="39"/>
      <c r="Q39" s="39"/>
      <c r="R39" s="39"/>
    </row>
    <row r="40" spans="2:22">
      <c r="E40" s="110"/>
      <c r="J40" s="39"/>
      <c r="K40" s="39"/>
      <c r="P40" s="39"/>
      <c r="Q40" s="39"/>
      <c r="R40" s="39"/>
    </row>
    <row r="41" spans="2:22">
      <c r="E41" s="110"/>
      <c r="J41" s="39"/>
      <c r="K41" s="39"/>
      <c r="P41" s="39"/>
      <c r="Q41" s="39"/>
      <c r="R41" s="39"/>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1" xr:uid="{34F9D7AD-3723-426E-81C9-06608190343A}">
      <formula1>Flow_units</formula1>
    </dataValidation>
    <dataValidation type="custom" allowBlank="1" showInputMessage="1" showErrorMessage="1" error="Please do not change this formula" prompt="Please do not change this formula" sqref="L1:L1048576 S6:S1048576 T4 M4 S1:S4 N1:O4 N6:O1048576 N5:S5" xr:uid="{C10AFCA0-0889-41A6-9B0C-C500BEC572C2}">
      <formula1>"Please do not change this formula"</formula1>
    </dataValidation>
  </dataValidations>
  <hyperlinks>
    <hyperlink ref="I2:J2" location="'Biomass Pre-Processing'!A1" display="Go to the next step of this pathway" xr:uid="{AC21E326-B167-414C-94AA-F2C071B042A5}"/>
    <hyperlink ref="I2:K2" location="'Biomass_Pre-Processing'!A1" display="Go to the next step of this pathway" xr:uid="{7E187848-98A3-4CEC-A65F-E6DB996A151D}"/>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7" id="{F4C5E681-5206-4442-BFF3-75E2E3719C45}">
            <xm:f>AND(Initial_questions!$E$21&lt;&gt;"Biomass Gasification with CCS",Initial_questions!$E$21&lt;&gt;"Biomass Gasification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9" id="{5BAD816A-3055-4EEA-B8B9-ED184261F375}">
            <xm:f>AND(GHG_BIOMASS_GASIFICATION!$D$5="Default",Master_Switch="On")</xm:f>
            <x14:dxf>
              <font>
                <color theme="0"/>
              </font>
              <fill>
                <patternFill>
                  <bgColor theme="0"/>
                </patternFill>
              </fill>
              <border>
                <left/>
                <right/>
                <top/>
                <bottom/>
                <vertical/>
                <horizontal/>
              </border>
            </x14:dxf>
          </x14:cfRule>
          <xm:sqref>A4:XFD100</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69E-69F2-4643-97B7-BF3922B7A3D5}">
  <sheetPr codeName="Sheet31">
    <tabColor rgb="FFCCFF66"/>
  </sheetPr>
  <dimension ref="A1:Z191"/>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IF(AND(Initial_questions!$E$21&lt;&gt;"Biomass Gasification with CCS",Initial_questions!$E$21&lt;&gt;"Biomass Gasification without CCS",Master_Switch="On"),"User should not fill in this sheet, but switch to other non-blank GHG worksheets","")</f>
        <v>User should not fill in this sheet, but switch to other non-blank GHG worksheets</v>
      </c>
      <c r="E1" s="262"/>
    </row>
    <row r="2" spans="1:26" ht="20.399999999999999" customHeight="1">
      <c r="B2" s="83" t="str">
        <f>IF(AND(GHG_BIOMASS_GASIFICATION!$D$5="Default",Master_Switch="On"),"Default data selected for this module, move to the next step of the pathway","")</f>
        <v/>
      </c>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829</v>
      </c>
      <c r="D8" s="183" t="s">
        <v>582</v>
      </c>
      <c r="E8" s="35"/>
      <c r="F8" s="21"/>
      <c r="G8" s="21"/>
      <c r="H8" s="20"/>
      <c r="I8" s="20"/>
      <c r="J8" s="307"/>
      <c r="K8" s="309"/>
      <c r="L8" s="247">
        <f t="shared" ref="L8:L17" si="0">IF($D8="MWh/yr (LHV)",$E8,$J8*$E8/Conversion_kWh_to_MJ)</f>
        <v>0</v>
      </c>
      <c r="M8" s="12"/>
      <c r="P8" s="110"/>
      <c r="Q8" s="110"/>
      <c r="R8" s="110"/>
      <c r="S8" s="12"/>
      <c r="U8" s="24"/>
      <c r="V8" s="12"/>
    </row>
    <row r="9" spans="1:26">
      <c r="B9" s="190" t="s">
        <v>592</v>
      </c>
      <c r="C9" s="188" t="s">
        <v>680</v>
      </c>
      <c r="D9" s="183" t="s">
        <v>747</v>
      </c>
      <c r="E9" s="35"/>
      <c r="F9" s="21"/>
      <c r="G9" s="21"/>
      <c r="H9" s="20"/>
      <c r="I9" s="36"/>
      <c r="J9" s="307"/>
      <c r="K9" s="309"/>
      <c r="L9" s="247">
        <f t="shared" si="0"/>
        <v>0</v>
      </c>
      <c r="M9" s="12"/>
      <c r="P9" s="35" t="str">
        <f>IF(B9="", "", IF(D9="MWh/yr (LHV)", "Use column to right", "Enter data here"))</f>
        <v>Use column to right</v>
      </c>
      <c r="Q9" s="35" t="e">
        <f>INDEX(Assumptions!$F$5:$AJ$5,1,MATCH(Initial_questions!$E$24,Assumptions!$F$4:$AJ$4,0))*1000/Conversion_kWh_to_MJ</f>
        <v>#N/A</v>
      </c>
      <c r="R9" s="35" t="s">
        <v>896</v>
      </c>
      <c r="S9" s="247" t="str">
        <f t="shared" ref="S9:S17" si="1">IFERROR(IF(D9="tonnes/yr", $P9*$E9/($L$20*3.6), $Q9*$E9*3.6/($L$20*3.6)), "Unfilled fields to left")</f>
        <v>Unfilled fields to left</v>
      </c>
      <c r="U9" s="25"/>
      <c r="V9" s="12"/>
    </row>
    <row r="10" spans="1:26">
      <c r="B10" s="190" t="s">
        <v>592</v>
      </c>
      <c r="C10" s="188"/>
      <c r="D10" s="183"/>
      <c r="E10" s="35"/>
      <c r="F10" s="21"/>
      <c r="G10" s="21"/>
      <c r="H10" s="20"/>
      <c r="I10" s="36"/>
      <c r="J10" s="307"/>
      <c r="K10" s="309"/>
      <c r="L10" s="247">
        <f t="shared" si="0"/>
        <v>0</v>
      </c>
      <c r="M10" s="12"/>
      <c r="P10" s="35" t="str">
        <f t="shared" ref="P10" si="2">IF(B10="", "", IF(D10="MWh/yr (LHV)", "Use column to right", "Enter data here"))</f>
        <v>Enter data here</v>
      </c>
      <c r="Q10" s="35" t="str">
        <f>IF(B10="", "", IF(D10="MWh/yr (LHV)", "Enter data here", "Use column to left"))</f>
        <v>Use column to left</v>
      </c>
      <c r="R10" s="35" t="s">
        <v>898</v>
      </c>
      <c r="S10" s="247" t="str">
        <f t="shared" si="1"/>
        <v>Unfilled fields to left</v>
      </c>
      <c r="U10" s="25"/>
      <c r="V10" s="12"/>
    </row>
    <row r="11" spans="1:26">
      <c r="B11" s="190" t="s">
        <v>599</v>
      </c>
      <c r="C11" s="188" t="s">
        <v>600</v>
      </c>
      <c r="D11" s="183" t="s">
        <v>582</v>
      </c>
      <c r="E11" s="35"/>
      <c r="F11" s="21"/>
      <c r="G11" s="21"/>
      <c r="H11" s="20"/>
      <c r="I11" s="36"/>
      <c r="J11" s="307"/>
      <c r="K11" s="309"/>
      <c r="L11" s="247">
        <f t="shared" si="0"/>
        <v>0</v>
      </c>
      <c r="M11" s="12"/>
      <c r="P11" s="35" t="str">
        <f t="shared" ref="P11:P17" si="3">IF(B11="", "", IF(D11="MWh/yr (LHV)", "Use column to right", "Enter data here"))</f>
        <v>Enter data here</v>
      </c>
      <c r="Q11" s="35" t="str">
        <f t="shared" ref="Q11:Q17" si="4">IF(B11="", "", IF(D11="MWh/yr (LHV)", "Enter data here", "Use column to left"))</f>
        <v>Use column to left</v>
      </c>
      <c r="R11" s="35" t="s">
        <v>898</v>
      </c>
      <c r="S11" s="247" t="str">
        <f t="shared" si="1"/>
        <v>Unfilled fields to left</v>
      </c>
      <c r="U11" s="25"/>
      <c r="V11" s="12"/>
    </row>
    <row r="12" spans="1:26">
      <c r="B12" s="190" t="s">
        <v>599</v>
      </c>
      <c r="C12" s="188" t="s">
        <v>601</v>
      </c>
      <c r="D12" s="183" t="s">
        <v>582</v>
      </c>
      <c r="E12" s="35"/>
      <c r="F12" s="21"/>
      <c r="G12" s="21"/>
      <c r="H12" s="20"/>
      <c r="I12" s="36"/>
      <c r="J12" s="307"/>
      <c r="K12" s="309"/>
      <c r="L12" s="247">
        <f t="shared" si="0"/>
        <v>0</v>
      </c>
      <c r="M12" s="12"/>
      <c r="P12" s="35" t="str">
        <f t="shared" si="3"/>
        <v>Enter data here</v>
      </c>
      <c r="Q12" s="35" t="str">
        <f t="shared" si="4"/>
        <v>Use column to left</v>
      </c>
      <c r="R12" s="35" t="s">
        <v>898</v>
      </c>
      <c r="S12" s="247" t="str">
        <f t="shared" si="1"/>
        <v>Unfilled fields to left</v>
      </c>
      <c r="U12" s="25"/>
      <c r="V12" s="12"/>
    </row>
    <row r="13" spans="1:26">
      <c r="B13" s="190" t="s">
        <v>605</v>
      </c>
      <c r="C13" s="188" t="s">
        <v>585</v>
      </c>
      <c r="D13" s="183" t="s">
        <v>582</v>
      </c>
      <c r="E13" s="35"/>
      <c r="F13" s="21"/>
      <c r="G13" s="21"/>
      <c r="H13" s="20"/>
      <c r="I13" s="36"/>
      <c r="J13" s="307"/>
      <c r="K13" s="309"/>
      <c r="L13" s="247">
        <f t="shared" si="0"/>
        <v>0</v>
      </c>
      <c r="M13" s="12"/>
      <c r="P13" s="35" t="str">
        <f t="shared" si="3"/>
        <v>Enter data here</v>
      </c>
      <c r="Q13" s="35" t="str">
        <f t="shared" si="4"/>
        <v>Use column to left</v>
      </c>
      <c r="R13" s="35" t="s">
        <v>898</v>
      </c>
      <c r="S13" s="247" t="str">
        <f t="shared" si="1"/>
        <v>Unfilled fields to left</v>
      </c>
      <c r="U13" s="25"/>
      <c r="V13" s="12"/>
    </row>
    <row r="14" spans="1:26">
      <c r="B14" s="190" t="s">
        <v>605</v>
      </c>
      <c r="C14" s="188" t="s">
        <v>635</v>
      </c>
      <c r="D14" s="183" t="s">
        <v>582</v>
      </c>
      <c r="E14" s="35"/>
      <c r="F14" s="21"/>
      <c r="G14" s="21"/>
      <c r="H14" s="20"/>
      <c r="I14" s="36"/>
      <c r="J14" s="307"/>
      <c r="K14" s="309"/>
      <c r="L14" s="247">
        <f t="shared" si="0"/>
        <v>0</v>
      </c>
      <c r="M14" s="12"/>
      <c r="P14" s="35" t="str">
        <f t="shared" si="3"/>
        <v>Enter data here</v>
      </c>
      <c r="Q14" s="35" t="str">
        <f t="shared" si="4"/>
        <v>Use column to left</v>
      </c>
      <c r="R14" s="35" t="s">
        <v>898</v>
      </c>
      <c r="S14" s="247" t="str">
        <f t="shared" si="1"/>
        <v>Unfilled fields to left</v>
      </c>
      <c r="U14" s="25"/>
      <c r="V14" s="12"/>
    </row>
    <row r="15" spans="1:26">
      <c r="B15" s="190" t="s">
        <v>657</v>
      </c>
      <c r="C15" s="188" t="s">
        <v>609</v>
      </c>
      <c r="D15" s="183" t="s">
        <v>582</v>
      </c>
      <c r="E15" s="35"/>
      <c r="F15" s="21"/>
      <c r="G15" s="21"/>
      <c r="H15" s="20"/>
      <c r="I15" s="36"/>
      <c r="J15" s="307"/>
      <c r="K15" s="309"/>
      <c r="L15" s="247">
        <f t="shared" si="0"/>
        <v>0</v>
      </c>
      <c r="M15" s="12"/>
      <c r="P15" s="35" t="str">
        <f t="shared" si="3"/>
        <v>Enter data here</v>
      </c>
      <c r="Q15" s="35" t="str">
        <f t="shared" si="4"/>
        <v>Use column to left</v>
      </c>
      <c r="R15" s="35" t="s">
        <v>898</v>
      </c>
      <c r="S15" s="247" t="str">
        <f t="shared" si="1"/>
        <v>Unfilled fields to left</v>
      </c>
      <c r="U15" s="25"/>
      <c r="V15" s="12"/>
    </row>
    <row r="16" spans="1:26">
      <c r="B16" s="190" t="s">
        <v>657</v>
      </c>
      <c r="C16" s="188" t="s">
        <v>681</v>
      </c>
      <c r="D16" s="183" t="s">
        <v>582</v>
      </c>
      <c r="E16" s="35"/>
      <c r="F16" s="21"/>
      <c r="G16" s="21"/>
      <c r="H16" s="20"/>
      <c r="I16" s="36"/>
      <c r="J16" s="307"/>
      <c r="K16" s="309"/>
      <c r="L16" s="247">
        <f t="shared" si="0"/>
        <v>0</v>
      </c>
      <c r="M16" s="12"/>
      <c r="P16" s="35" t="str">
        <f t="shared" si="3"/>
        <v>Enter data here</v>
      </c>
      <c r="Q16" s="35" t="str">
        <f t="shared" si="4"/>
        <v>Use column to left</v>
      </c>
      <c r="R16" s="35" t="s">
        <v>898</v>
      </c>
      <c r="S16" s="247" t="str">
        <f t="shared" si="1"/>
        <v>Unfilled fields to left</v>
      </c>
      <c r="U16" s="25"/>
      <c r="V16" s="12"/>
    </row>
    <row r="17" spans="2:26">
      <c r="B17" s="16"/>
      <c r="C17" s="15"/>
      <c r="D17" s="183"/>
      <c r="E17" s="35"/>
      <c r="F17" s="21"/>
      <c r="G17" s="21"/>
      <c r="H17" s="20"/>
      <c r="I17" s="36"/>
      <c r="J17" s="307"/>
      <c r="K17" s="309"/>
      <c r="L17" s="247">
        <f t="shared" si="0"/>
        <v>0</v>
      </c>
      <c r="M17" s="12"/>
      <c r="P17" s="35" t="str">
        <f t="shared" si="3"/>
        <v/>
      </c>
      <c r="Q17" s="35" t="str">
        <f t="shared" si="4"/>
        <v/>
      </c>
      <c r="R17" s="35"/>
      <c r="S17" s="247" t="str">
        <f t="shared" si="1"/>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830</v>
      </c>
      <c r="D20" s="183" t="s">
        <v>582</v>
      </c>
      <c r="E20" s="35"/>
      <c r="F20" s="21"/>
      <c r="G20" s="21"/>
      <c r="H20" s="21"/>
      <c r="I20" s="21"/>
      <c r="J20" s="307"/>
      <c r="K20" s="313"/>
      <c r="L20" s="247">
        <f t="shared" ref="L20:L34" si="5">IF($D20="MWh/yr (LHV)",$E20,$J20*$E20/Conversion_kWh_to_MJ)</f>
        <v>0</v>
      </c>
      <c r="N20" s="251" t="str">
        <f>IFERROR(L20/L8,"")</f>
        <v/>
      </c>
      <c r="O20" s="250" t="str">
        <f>IFERROR(L20/(SUM($L$20:$L$22)),"")</f>
        <v/>
      </c>
      <c r="P20" s="42"/>
      <c r="Q20" s="42"/>
      <c r="R20" s="42"/>
      <c r="S20" s="42"/>
      <c r="U20" s="21"/>
      <c r="V20" s="12"/>
    </row>
    <row r="21" spans="2:26" s="14" customFormat="1">
      <c r="B21" s="190" t="s">
        <v>583</v>
      </c>
      <c r="C21" s="188" t="s">
        <v>804</v>
      </c>
      <c r="D21" s="183" t="s">
        <v>582</v>
      </c>
      <c r="E21" s="35"/>
      <c r="F21" s="21"/>
      <c r="G21" s="21"/>
      <c r="H21" s="20"/>
      <c r="I21" s="33"/>
      <c r="J21" s="307"/>
      <c r="K21" s="309"/>
      <c r="L21" s="247">
        <f t="shared" si="5"/>
        <v>0</v>
      </c>
      <c r="M21" s="12"/>
      <c r="N21" s="12"/>
      <c r="O21" s="250" t="str">
        <f t="shared" ref="O21:O22" si="6">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5"/>
        <v>0</v>
      </c>
      <c r="M22" s="12"/>
      <c r="N22" s="12"/>
      <c r="O22" s="250" t="str">
        <f t="shared" si="6"/>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5"/>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5"/>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5"/>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5"/>
        <v>0</v>
      </c>
      <c r="M26" s="12"/>
      <c r="N26" s="12"/>
      <c r="O26" s="12"/>
      <c r="P26" s="110"/>
      <c r="Q26" s="110"/>
      <c r="R26" s="110"/>
      <c r="S26" s="12"/>
      <c r="U26" s="21"/>
    </row>
    <row r="27" spans="2:26" s="14" customFormat="1">
      <c r="B27" s="190" t="s">
        <v>611</v>
      </c>
      <c r="C27" s="188" t="s">
        <v>849</v>
      </c>
      <c r="D27" s="183" t="s">
        <v>582</v>
      </c>
      <c r="E27" s="35"/>
      <c r="F27" s="34"/>
      <c r="G27" s="21"/>
      <c r="H27" s="20"/>
      <c r="I27" s="36"/>
      <c r="J27" s="307"/>
      <c r="K27" s="309"/>
      <c r="L27" s="247">
        <f t="shared" si="5"/>
        <v>0</v>
      </c>
      <c r="M27" s="12"/>
      <c r="N27" s="12"/>
      <c r="O27" s="12"/>
      <c r="P27" s="563">
        <v>0</v>
      </c>
      <c r="Q27" s="546"/>
      <c r="R27" s="558" t="s">
        <v>801</v>
      </c>
      <c r="S27" s="247" t="str">
        <f t="shared" ref="S27:S34" si="7">IFERROR(IF(D27="tonnes/yr", $P27*$E27/($L$20*3.6), $Q27*$E27*3.6/($L$20*3.6)), "Unfilled fields to left")</f>
        <v>Unfilled fields to left</v>
      </c>
      <c r="U27" s="21"/>
    </row>
    <row r="28" spans="2:26" s="14" customFormat="1">
      <c r="B28" s="190" t="s">
        <v>611</v>
      </c>
      <c r="C28" s="188" t="s">
        <v>850</v>
      </c>
      <c r="D28" s="183" t="s">
        <v>582</v>
      </c>
      <c r="E28" s="35"/>
      <c r="F28" s="34"/>
      <c r="G28" s="21"/>
      <c r="H28" s="20"/>
      <c r="I28" s="36"/>
      <c r="J28" s="307"/>
      <c r="K28" s="309"/>
      <c r="L28" s="247">
        <f t="shared" si="5"/>
        <v>0</v>
      </c>
      <c r="M28" s="12"/>
      <c r="N28" s="12"/>
      <c r="O28" s="12"/>
      <c r="P28" s="563">
        <v>1000</v>
      </c>
      <c r="Q28" s="546"/>
      <c r="R28" s="558" t="s">
        <v>821</v>
      </c>
      <c r="S28" s="247" t="str">
        <f t="shared" si="7"/>
        <v>Unfilled fields to left</v>
      </c>
      <c r="U28" s="21"/>
    </row>
    <row r="29" spans="2:26" s="14" customFormat="1">
      <c r="B29" s="190" t="s">
        <v>811</v>
      </c>
      <c r="C29" s="188" t="s">
        <v>833</v>
      </c>
      <c r="D29" s="183" t="s">
        <v>582</v>
      </c>
      <c r="E29" s="35"/>
      <c r="F29" s="34"/>
      <c r="G29" s="21"/>
      <c r="H29" s="20"/>
      <c r="I29" s="36"/>
      <c r="J29" s="307"/>
      <c r="K29" s="309"/>
      <c r="L29" s="247">
        <f t="shared" si="5"/>
        <v>0</v>
      </c>
      <c r="M29" s="12"/>
      <c r="N29" s="12"/>
      <c r="O29" s="12"/>
      <c r="P29" s="563">
        <v>-1000</v>
      </c>
      <c r="Q29" s="546"/>
      <c r="R29" s="558" t="s">
        <v>802</v>
      </c>
      <c r="S29" s="247" t="str">
        <f t="shared" si="7"/>
        <v>Unfilled fields to left</v>
      </c>
      <c r="U29" s="21"/>
    </row>
    <row r="30" spans="2:26" s="14" customFormat="1">
      <c r="B30" s="190" t="s">
        <v>811</v>
      </c>
      <c r="C30" s="188" t="s">
        <v>832</v>
      </c>
      <c r="D30" s="183" t="s">
        <v>582</v>
      </c>
      <c r="E30" s="35"/>
      <c r="F30" s="34"/>
      <c r="G30" s="21"/>
      <c r="H30" s="20"/>
      <c r="I30" s="36"/>
      <c r="J30" s="307"/>
      <c r="K30" s="309"/>
      <c r="L30" s="247">
        <f t="shared" si="5"/>
        <v>0</v>
      </c>
      <c r="M30" s="12"/>
      <c r="N30" s="12"/>
      <c r="O30" s="12"/>
      <c r="P30" s="563">
        <v>-1000</v>
      </c>
      <c r="Q30" s="546"/>
      <c r="R30" s="558" t="s">
        <v>827</v>
      </c>
      <c r="S30" s="247" t="str">
        <f t="shared" si="7"/>
        <v>Unfilled fields to left</v>
      </c>
      <c r="U30" s="21"/>
    </row>
    <row r="31" spans="2:26" s="14" customFormat="1">
      <c r="B31" s="190" t="s">
        <v>640</v>
      </c>
      <c r="C31" s="188" t="s">
        <v>823</v>
      </c>
      <c r="D31" s="183" t="s">
        <v>582</v>
      </c>
      <c r="E31" s="35"/>
      <c r="F31" s="34"/>
      <c r="G31" s="21"/>
      <c r="H31" s="20"/>
      <c r="I31" s="36"/>
      <c r="J31" s="307"/>
      <c r="K31" s="309"/>
      <c r="L31" s="247">
        <f t="shared" si="5"/>
        <v>0</v>
      </c>
      <c r="M31" s="12"/>
      <c r="N31" s="12"/>
      <c r="O31" s="12"/>
      <c r="P31" s="563">
        <v>28000</v>
      </c>
      <c r="Q31" s="546"/>
      <c r="R31" s="558" t="s">
        <v>651</v>
      </c>
      <c r="S31" s="247" t="str">
        <f t="shared" si="7"/>
        <v>Unfilled fields to left</v>
      </c>
      <c r="U31" s="21"/>
    </row>
    <row r="32" spans="2:26" s="14" customFormat="1">
      <c r="B32" s="190" t="s">
        <v>640</v>
      </c>
      <c r="C32" s="188" t="s">
        <v>824</v>
      </c>
      <c r="D32" s="183" t="s">
        <v>582</v>
      </c>
      <c r="E32" s="35"/>
      <c r="F32" s="21"/>
      <c r="G32" s="21"/>
      <c r="H32" s="20"/>
      <c r="I32" s="36"/>
      <c r="J32" s="307"/>
      <c r="K32" s="309"/>
      <c r="L32" s="247">
        <f t="shared" si="5"/>
        <v>0</v>
      </c>
      <c r="M32" s="12"/>
      <c r="N32" s="12"/>
      <c r="O32" s="12"/>
      <c r="P32" s="563">
        <v>265000</v>
      </c>
      <c r="Q32" s="546"/>
      <c r="R32" s="558" t="s">
        <v>651</v>
      </c>
      <c r="S32" s="247" t="str">
        <f t="shared" si="7"/>
        <v>Unfilled fields to left</v>
      </c>
      <c r="U32" s="21"/>
    </row>
    <row r="33" spans="2:22" s="14" customFormat="1">
      <c r="B33" s="16"/>
      <c r="C33" s="15"/>
      <c r="D33" s="183"/>
      <c r="E33" s="35"/>
      <c r="F33" s="21"/>
      <c r="G33" s="21"/>
      <c r="H33" s="20"/>
      <c r="I33" s="36"/>
      <c r="J33" s="307"/>
      <c r="K33" s="309"/>
      <c r="L33" s="247">
        <f t="shared" si="5"/>
        <v>0</v>
      </c>
      <c r="M33" s="12"/>
      <c r="N33" s="12"/>
      <c r="O33" s="12"/>
      <c r="P33" s="556"/>
      <c r="Q33" s="505"/>
      <c r="R33" s="559"/>
      <c r="S33" s="247" t="str">
        <f t="shared" si="7"/>
        <v>Unfilled fields to left</v>
      </c>
      <c r="U33" s="21"/>
    </row>
    <row r="34" spans="2:22" s="14" customFormat="1">
      <c r="B34" s="16"/>
      <c r="C34" s="15"/>
      <c r="D34" s="183"/>
      <c r="E34" s="35"/>
      <c r="F34" s="21"/>
      <c r="G34" s="21"/>
      <c r="H34" s="20"/>
      <c r="I34" s="36"/>
      <c r="J34" s="307"/>
      <c r="K34" s="309"/>
      <c r="L34" s="247">
        <f t="shared" si="5"/>
        <v>0</v>
      </c>
      <c r="M34" s="12"/>
      <c r="N34" s="12"/>
      <c r="O34" s="12"/>
      <c r="P34" s="556"/>
      <c r="Q34" s="505"/>
      <c r="R34" s="559"/>
      <c r="S34" s="247" t="str">
        <f t="shared" si="7"/>
        <v>Unfilled fields to left</v>
      </c>
      <c r="U34" s="21"/>
    </row>
    <row r="35" spans="2:22">
      <c r="C35" s="17"/>
      <c r="D35" s="17"/>
      <c r="E35" s="144"/>
      <c r="F35" s="17"/>
      <c r="H35" s="18"/>
      <c r="I35" s="18"/>
      <c r="J35" s="40"/>
      <c r="K35" s="40"/>
      <c r="L35" s="40"/>
      <c r="M35" s="12"/>
      <c r="P35" s="40"/>
      <c r="Q35" s="110"/>
      <c r="R35" s="40"/>
      <c r="S35" s="40"/>
      <c r="V35" s="12"/>
    </row>
    <row r="36" spans="2:22">
      <c r="D36" s="17"/>
      <c r="E36" s="144"/>
      <c r="J36" s="39"/>
      <c r="K36" s="39"/>
      <c r="M36" s="12"/>
      <c r="P36" s="39"/>
      <c r="Q36" s="110"/>
      <c r="R36" s="38" t="s">
        <v>641</v>
      </c>
      <c r="S36" s="157">
        <f>SUM(S7:S35)</f>
        <v>0</v>
      </c>
      <c r="V36" s="12"/>
    </row>
    <row r="37" spans="2:22">
      <c r="B37" s="149" t="s">
        <v>94</v>
      </c>
      <c r="C37" s="163"/>
      <c r="D37" s="163"/>
      <c r="E37" s="527"/>
      <c r="I37" s="12"/>
      <c r="J37" s="110"/>
      <c r="K37" s="110"/>
      <c r="L37" s="110"/>
      <c r="M37" s="12"/>
      <c r="P37" s="110"/>
      <c r="Q37" s="110"/>
      <c r="R37" s="110"/>
      <c r="V37" s="12"/>
    </row>
    <row r="38" spans="2:22">
      <c r="B38" s="16" t="s">
        <v>626</v>
      </c>
      <c r="C38" s="15" t="s">
        <v>627</v>
      </c>
      <c r="D38" s="15" t="s">
        <v>628</v>
      </c>
      <c r="E38" s="529"/>
      <c r="G38" s="19"/>
      <c r="H38" s="12"/>
      <c r="I38" s="12"/>
      <c r="J38" s="110"/>
      <c r="K38" s="110"/>
      <c r="L38" s="110"/>
      <c r="M38" s="12"/>
      <c r="P38" s="110"/>
      <c r="Q38" s="110"/>
      <c r="R38" s="110"/>
      <c r="S38" s="12"/>
      <c r="U38" s="25"/>
      <c r="V38" s="12"/>
    </row>
    <row r="39" spans="2:22">
      <c r="B39" s="16" t="s">
        <v>642</v>
      </c>
      <c r="C39" s="15" t="s">
        <v>652</v>
      </c>
      <c r="D39" s="15" t="s">
        <v>497</v>
      </c>
      <c r="E39" s="539"/>
      <c r="H39" s="12"/>
      <c r="I39" s="12"/>
      <c r="J39" s="110"/>
      <c r="K39" s="110"/>
      <c r="L39" s="110"/>
      <c r="M39" s="12"/>
      <c r="P39" s="110"/>
      <c r="Q39" s="110"/>
      <c r="R39" s="110"/>
      <c r="S39" s="12"/>
      <c r="U39" s="25"/>
      <c r="V39" s="12"/>
    </row>
    <row r="40" spans="2:22">
      <c r="B40" s="16" t="s">
        <v>654</v>
      </c>
      <c r="C40" s="15" t="s">
        <v>655</v>
      </c>
      <c r="D40" s="15" t="s">
        <v>497</v>
      </c>
      <c r="E40" s="540"/>
      <c r="J40" s="39"/>
      <c r="K40" s="39"/>
      <c r="P40" s="39"/>
      <c r="Q40" s="39"/>
      <c r="R40" s="39"/>
      <c r="U40" s="25"/>
    </row>
    <row r="41" spans="2:22">
      <c r="B41" s="16"/>
      <c r="C41" s="15"/>
      <c r="D41" s="15"/>
      <c r="E41" s="535"/>
      <c r="J41" s="39"/>
      <c r="K41" s="39"/>
      <c r="P41" s="39"/>
      <c r="Q41" s="39"/>
      <c r="R41" s="39"/>
      <c r="U41" s="25"/>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J122" s="39"/>
      <c r="K122" s="39"/>
      <c r="P122" s="39"/>
      <c r="Q122" s="39"/>
      <c r="R122" s="39"/>
    </row>
    <row r="123" spans="5:18">
      <c r="E123" s="110"/>
      <c r="J123" s="39"/>
      <c r="K123" s="39"/>
      <c r="P123" s="39"/>
      <c r="Q123" s="39"/>
      <c r="R123" s="39"/>
    </row>
    <row r="124" spans="5:18">
      <c r="E124" s="110"/>
      <c r="J124" s="39"/>
      <c r="K124" s="39"/>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E147" s="110"/>
      <c r="P147" s="39"/>
      <c r="Q147" s="39"/>
      <c r="R147" s="39"/>
    </row>
    <row r="148" spans="5:18">
      <c r="E148" s="110"/>
      <c r="P148" s="39"/>
      <c r="Q148" s="39"/>
      <c r="R148" s="39"/>
    </row>
    <row r="149" spans="5:18">
      <c r="E149" s="110"/>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row r="189" spans="16:18">
      <c r="P189" s="39"/>
      <c r="Q189" s="39"/>
      <c r="R189" s="39"/>
    </row>
    <row r="190" spans="16:18">
      <c r="P190" s="39"/>
      <c r="Q190" s="39"/>
      <c r="R190" s="39"/>
    </row>
    <row r="191" spans="16:18">
      <c r="P191" s="39"/>
      <c r="Q191" s="39"/>
      <c r="R191"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4" xr:uid="{8FC3E254-5DBB-48E2-9841-DA2315E7D5EC}">
      <formula1>Flow_units</formula1>
    </dataValidation>
    <dataValidation type="custom" allowBlank="1" showInputMessage="1" showErrorMessage="1" error="Please do not change this formula" prompt="Please do not change this formula" sqref="T4 S6:S1048576 L1:L1048576 M4 S1:S4 N1:O4 N6:O1048576 N5:S5" xr:uid="{08E45ECC-1C87-40A1-AD14-C9801C2B36D9}">
      <formula1>"Please do not change this formula"</formula1>
    </dataValidation>
  </dataValidations>
  <hyperlinks>
    <hyperlink ref="I2:J2" location="'Biomass Further Transport'!A1" display="Go to the next step of this pathway" xr:uid="{D8547142-5516-4860-B494-C675AA33DF00}"/>
    <hyperlink ref="I2:K2" location="Biomass_Further_Transport!A1" display="Go to the next step of this pathway" xr:uid="{C7A98D39-F172-4FF6-A445-E2EC8DEC597E}"/>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20" id="{88EB64CC-AAFD-47EB-9999-3F05D2FA2E6A}">
            <xm:f>AND(Initial_questions!$E$21&lt;&gt;"Biomass Gasification with CCS",Initial_questions!$E$21&lt;&gt;"Biomass Gasification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14" id="{17451C3F-79CB-461D-82DC-D37C944361B5}">
            <xm:f>AND(GHG_BIOMASS_GASIFICATION!$D$5="Default",Master_Switch="On")</xm:f>
            <x14:dxf>
              <font>
                <color theme="0"/>
              </font>
              <fill>
                <patternFill>
                  <bgColor theme="0"/>
                </patternFill>
              </fill>
              <border>
                <left/>
                <right/>
                <top/>
                <bottom/>
                <vertical/>
                <horizontal/>
              </border>
            </x14:dxf>
          </x14:cfRule>
          <xm:sqref>A4:XFD100</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07FC0-8092-461D-9296-29926AAB4FA0}">
  <sheetPr codeName="Sheet32">
    <tabColor rgb="FFCCFF66"/>
  </sheetPr>
  <dimension ref="A1:Z188"/>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IF(AND(Initial_questions!$E$21&lt;&gt;"Biomass Gasification with CCS",Initial_questions!$E$21&lt;&gt;"Biomass Gasification without CCS",Master_Switch="On"),"User should not fill in this sheet, but switch to other non-blank GHG worksheets","")</f>
        <v>User should not fill in this sheet, but switch to other non-blank GHG worksheets</v>
      </c>
      <c r="E1" s="262"/>
    </row>
    <row r="2" spans="1:26" ht="20.399999999999999" customHeight="1">
      <c r="B2" s="83" t="str">
        <f>IF(AND(GHG_BIOMASS_GASIFICATION!$D$5="Default",Master_Switch="On"),"Default data selected for this module, move to the next step of the pathway","")</f>
        <v/>
      </c>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830</v>
      </c>
      <c r="D8" s="183" t="s">
        <v>582</v>
      </c>
      <c r="E8" s="35"/>
      <c r="F8" s="21"/>
      <c r="G8" s="21"/>
      <c r="H8" s="20"/>
      <c r="I8" s="20"/>
      <c r="J8" s="35"/>
      <c r="K8" s="309"/>
      <c r="L8" s="247">
        <f t="shared" ref="L8:L17" si="0">IF($D8="MWh/yr (LHV)",$E8,$J8*$E8/Conversion_kWh_to_MJ)</f>
        <v>0</v>
      </c>
      <c r="M8" s="12"/>
      <c r="P8" s="110"/>
      <c r="Q8" s="110"/>
      <c r="R8" s="110"/>
      <c r="S8" s="12"/>
      <c r="U8" s="24"/>
      <c r="V8" s="12"/>
    </row>
    <row r="9" spans="1:26">
      <c r="B9" s="190" t="s">
        <v>592</v>
      </c>
      <c r="C9" s="188" t="s">
        <v>646</v>
      </c>
      <c r="D9" s="183" t="s">
        <v>747</v>
      </c>
      <c r="E9" s="35"/>
      <c r="F9" s="21"/>
      <c r="G9" s="21"/>
      <c r="H9" s="20"/>
      <c r="I9" s="36"/>
      <c r="J9" s="307"/>
      <c r="K9" s="309"/>
      <c r="L9" s="247">
        <f t="shared" si="0"/>
        <v>0</v>
      </c>
      <c r="M9" s="12"/>
      <c r="P9" s="35" t="str">
        <f>IF(B9="", "", IF(D9="MWh/yr (LHV)", "Use column to right", "Enter data here"))</f>
        <v>Use column to right</v>
      </c>
      <c r="Q9" s="35" t="e">
        <f>INDEX(Assumptions!$F$5:$AJ$5,1,MATCH(Initial_questions!$E$24,Assumptions!$F$4:$AJ$4,0))*1000/Conversion_kWh_to_MJ</f>
        <v>#N/A</v>
      </c>
      <c r="R9" s="35" t="s">
        <v>896</v>
      </c>
      <c r="S9" s="247" t="str">
        <f t="shared" ref="S9:S17" si="1">IFERROR(IF(D9="tonnes/yr", $P9*$E9/($L$20*3.6), $Q9*$E9*3.6/($L$20*3.6)), "Unfilled fields to left")</f>
        <v>Unfilled fields to left</v>
      </c>
      <c r="U9" s="25"/>
      <c r="V9" s="12"/>
    </row>
    <row r="10" spans="1:26">
      <c r="B10" s="190" t="s">
        <v>592</v>
      </c>
      <c r="C10" s="188"/>
      <c r="D10" s="183"/>
      <c r="E10" s="35"/>
      <c r="F10" s="21"/>
      <c r="G10" s="21"/>
      <c r="H10" s="20"/>
      <c r="I10" s="36"/>
      <c r="J10" s="307"/>
      <c r="K10" s="309"/>
      <c r="L10" s="247">
        <f t="shared" si="0"/>
        <v>0</v>
      </c>
      <c r="M10" s="12"/>
      <c r="P10" s="35" t="str">
        <f t="shared" ref="P10" si="2">IF(B10="", "", IF(D10="MWh/yr (LHV)", "Use column to right", "Enter data here"))</f>
        <v>Enter data here</v>
      </c>
      <c r="Q10" s="35" t="str">
        <f t="shared" ref="Q10" si="3">IF(B10="", "", IF(D10="MWh/yr (LHV)", "Enter data here", "Use column to left"))</f>
        <v>Use column to left</v>
      </c>
      <c r="R10" s="35" t="s">
        <v>898</v>
      </c>
      <c r="S10" s="247" t="str">
        <f t="shared" si="1"/>
        <v>Unfilled fields to left</v>
      </c>
      <c r="U10" s="25"/>
      <c r="V10" s="12"/>
    </row>
    <row r="11" spans="1:26">
      <c r="B11" s="190" t="s">
        <v>599</v>
      </c>
      <c r="C11" s="188" t="s">
        <v>600</v>
      </c>
      <c r="D11" s="183" t="s">
        <v>582</v>
      </c>
      <c r="E11" s="35"/>
      <c r="F11" s="21"/>
      <c r="G11" s="21"/>
      <c r="H11" s="20"/>
      <c r="I11" s="36"/>
      <c r="J11" s="307"/>
      <c r="K11" s="309"/>
      <c r="L11" s="247">
        <f t="shared" si="0"/>
        <v>0</v>
      </c>
      <c r="M11" s="12"/>
      <c r="P11" s="35" t="str">
        <f t="shared" ref="P11:P17" si="4">IF(B11="", "", IF(D11="MWh/yr (LHV)", "Use column to right", "Enter data here"))</f>
        <v>Enter data here</v>
      </c>
      <c r="Q11" s="35" t="str">
        <f t="shared" ref="Q11:Q17" si="5">IF(B11="", "", IF(D11="MWh/yr (LHV)", "Enter data here", "Use column to left"))</f>
        <v>Use column to left</v>
      </c>
      <c r="R11" s="35" t="s">
        <v>898</v>
      </c>
      <c r="S11" s="247" t="str">
        <f t="shared" si="1"/>
        <v>Unfilled fields to left</v>
      </c>
      <c r="U11" s="25"/>
      <c r="V11" s="12"/>
    </row>
    <row r="12" spans="1:26">
      <c r="B12" s="190" t="s">
        <v>599</v>
      </c>
      <c r="C12" s="188" t="s">
        <v>601</v>
      </c>
      <c r="D12" s="183" t="s">
        <v>582</v>
      </c>
      <c r="E12" s="35"/>
      <c r="F12" s="21"/>
      <c r="G12" s="21"/>
      <c r="H12" s="20"/>
      <c r="I12" s="36"/>
      <c r="J12" s="307"/>
      <c r="K12" s="309"/>
      <c r="L12" s="247">
        <f t="shared" si="0"/>
        <v>0</v>
      </c>
      <c r="M12" s="12"/>
      <c r="P12" s="35" t="str">
        <f t="shared" si="4"/>
        <v>Enter data here</v>
      </c>
      <c r="Q12" s="35" t="str">
        <f t="shared" si="5"/>
        <v>Use column to left</v>
      </c>
      <c r="R12" s="35" t="s">
        <v>898</v>
      </c>
      <c r="S12" s="247" t="str">
        <f t="shared" si="1"/>
        <v>Unfilled fields to left</v>
      </c>
      <c r="U12" s="25"/>
      <c r="V12" s="12"/>
    </row>
    <row r="13" spans="1:26">
      <c r="B13" s="190" t="s">
        <v>605</v>
      </c>
      <c r="C13" s="188" t="s">
        <v>585</v>
      </c>
      <c r="D13" s="183" t="s">
        <v>582</v>
      </c>
      <c r="E13" s="35"/>
      <c r="F13" s="21"/>
      <c r="G13" s="21"/>
      <c r="H13" s="20"/>
      <c r="I13" s="36"/>
      <c r="J13" s="307"/>
      <c r="K13" s="309"/>
      <c r="L13" s="247">
        <f t="shared" si="0"/>
        <v>0</v>
      </c>
      <c r="M13" s="12"/>
      <c r="P13" s="35" t="str">
        <f t="shared" si="4"/>
        <v>Enter data here</v>
      </c>
      <c r="Q13" s="35" t="str">
        <f t="shared" si="5"/>
        <v>Use column to left</v>
      </c>
      <c r="R13" s="35" t="s">
        <v>898</v>
      </c>
      <c r="S13" s="247" t="str">
        <f t="shared" si="1"/>
        <v>Unfilled fields to left</v>
      </c>
      <c r="U13" s="25"/>
      <c r="V13" s="12"/>
    </row>
    <row r="14" spans="1:26">
      <c r="B14" s="190" t="s">
        <v>605</v>
      </c>
      <c r="C14" s="188" t="s">
        <v>635</v>
      </c>
      <c r="D14" s="183" t="s">
        <v>582</v>
      </c>
      <c r="E14" s="35"/>
      <c r="F14" s="21"/>
      <c r="G14" s="21"/>
      <c r="H14" s="20"/>
      <c r="I14" s="36"/>
      <c r="J14" s="307"/>
      <c r="K14" s="309"/>
      <c r="L14" s="247">
        <f t="shared" si="0"/>
        <v>0</v>
      </c>
      <c r="M14" s="12"/>
      <c r="P14" s="35" t="str">
        <f t="shared" si="4"/>
        <v>Enter data here</v>
      </c>
      <c r="Q14" s="35" t="str">
        <f t="shared" si="5"/>
        <v>Use column to left</v>
      </c>
      <c r="R14" s="35" t="s">
        <v>898</v>
      </c>
      <c r="S14" s="247" t="str">
        <f t="shared" si="1"/>
        <v>Unfilled fields to left</v>
      </c>
      <c r="U14" s="25"/>
      <c r="V14" s="12"/>
    </row>
    <row r="15" spans="1:26">
      <c r="B15" s="190" t="s">
        <v>657</v>
      </c>
      <c r="C15" s="188" t="s">
        <v>609</v>
      </c>
      <c r="D15" s="183" t="s">
        <v>582</v>
      </c>
      <c r="E15" s="35"/>
      <c r="F15" s="21"/>
      <c r="G15" s="21"/>
      <c r="H15" s="20"/>
      <c r="I15" s="36"/>
      <c r="J15" s="307"/>
      <c r="K15" s="309"/>
      <c r="L15" s="247">
        <f t="shared" si="0"/>
        <v>0</v>
      </c>
      <c r="M15" s="12"/>
      <c r="P15" s="35" t="str">
        <f t="shared" si="4"/>
        <v>Enter data here</v>
      </c>
      <c r="Q15" s="35" t="str">
        <f t="shared" si="5"/>
        <v>Use column to left</v>
      </c>
      <c r="R15" s="35" t="s">
        <v>898</v>
      </c>
      <c r="S15" s="247" t="str">
        <f t="shared" si="1"/>
        <v>Unfilled fields to left</v>
      </c>
      <c r="U15" s="25"/>
      <c r="V15" s="12"/>
    </row>
    <row r="16" spans="1:26">
      <c r="B16" s="190" t="s">
        <v>657</v>
      </c>
      <c r="C16" s="188" t="s">
        <v>677</v>
      </c>
      <c r="D16" s="183" t="s">
        <v>582</v>
      </c>
      <c r="E16" s="35"/>
      <c r="F16" s="21"/>
      <c r="G16" s="21"/>
      <c r="H16" s="20"/>
      <c r="I16" s="36"/>
      <c r="J16" s="307"/>
      <c r="K16" s="309"/>
      <c r="L16" s="247">
        <f t="shared" si="0"/>
        <v>0</v>
      </c>
      <c r="M16" s="12"/>
      <c r="P16" s="35" t="str">
        <f t="shared" si="4"/>
        <v>Enter data here</v>
      </c>
      <c r="Q16" s="35" t="str">
        <f t="shared" si="5"/>
        <v>Use column to left</v>
      </c>
      <c r="R16" s="35" t="s">
        <v>898</v>
      </c>
      <c r="S16" s="247" t="str">
        <f t="shared" si="1"/>
        <v>Unfilled fields to left</v>
      </c>
      <c r="U16" s="25"/>
      <c r="V16" s="12"/>
    </row>
    <row r="17" spans="2:26">
      <c r="B17" s="16"/>
      <c r="C17" s="15"/>
      <c r="D17" s="183"/>
      <c r="E17" s="35"/>
      <c r="F17" s="21"/>
      <c r="G17" s="21"/>
      <c r="H17" s="20"/>
      <c r="I17" s="36"/>
      <c r="J17" s="307"/>
      <c r="K17" s="309"/>
      <c r="L17" s="247">
        <f t="shared" si="0"/>
        <v>0</v>
      </c>
      <c r="M17" s="12"/>
      <c r="P17" s="35" t="str">
        <f t="shared" si="4"/>
        <v/>
      </c>
      <c r="Q17" s="35" t="str">
        <f t="shared" si="5"/>
        <v/>
      </c>
      <c r="R17" s="35"/>
      <c r="S17" s="247" t="str">
        <f t="shared" si="1"/>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830</v>
      </c>
      <c r="D20" s="183" t="s">
        <v>582</v>
      </c>
      <c r="E20" s="35"/>
      <c r="F20" s="21"/>
      <c r="G20" s="21"/>
      <c r="H20" s="21"/>
      <c r="I20" s="21"/>
      <c r="J20" s="307"/>
      <c r="K20" s="313"/>
      <c r="L20" s="247">
        <f t="shared" ref="L20:L31" si="6">IF($D20="MWh/yr (LHV)",$E20,$J20*$E20/Conversion_kWh_to_MJ)</f>
        <v>0</v>
      </c>
      <c r="N20" s="251" t="str">
        <f>IFERROR(L20/L8,"")</f>
        <v/>
      </c>
      <c r="O20" s="250" t="str">
        <f>IFERROR(L20/(SUM($L$20:$L$22)),"")</f>
        <v/>
      </c>
      <c r="P20" s="42"/>
      <c r="Q20" s="42"/>
      <c r="R20" s="42"/>
      <c r="S20" s="42"/>
      <c r="U20" s="21"/>
      <c r="V20" s="12"/>
    </row>
    <row r="21" spans="2:26" s="14" customFormat="1">
      <c r="B21" s="190" t="s">
        <v>583</v>
      </c>
      <c r="C21" s="188" t="s">
        <v>804</v>
      </c>
      <c r="D21" s="183" t="s">
        <v>582</v>
      </c>
      <c r="E21" s="35"/>
      <c r="F21" s="21"/>
      <c r="G21" s="21"/>
      <c r="H21" s="20"/>
      <c r="I21" s="33"/>
      <c r="J21" s="307"/>
      <c r="K21" s="309"/>
      <c r="L21" s="247">
        <f t="shared" si="6"/>
        <v>0</v>
      </c>
      <c r="M21" s="12"/>
      <c r="N21" s="12"/>
      <c r="O21" s="250" t="str">
        <f t="shared" ref="O21:O22" si="7">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6"/>
        <v>0</v>
      </c>
      <c r="M22" s="12"/>
      <c r="N22" s="12"/>
      <c r="O22" s="250" t="str">
        <f t="shared" si="7"/>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6"/>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6"/>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6"/>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6"/>
        <v>0</v>
      </c>
      <c r="M26" s="12"/>
      <c r="N26" s="12"/>
      <c r="O26" s="12"/>
      <c r="P26" s="110"/>
      <c r="Q26" s="110"/>
      <c r="R26" s="110"/>
      <c r="S26" s="12"/>
      <c r="U26" s="21"/>
    </row>
    <row r="27" spans="2:26" s="14" customFormat="1">
      <c r="B27" s="190" t="s">
        <v>611</v>
      </c>
      <c r="C27" s="188" t="s">
        <v>820</v>
      </c>
      <c r="D27" s="183" t="s">
        <v>582</v>
      </c>
      <c r="E27" s="35"/>
      <c r="F27" s="34"/>
      <c r="G27" s="21"/>
      <c r="H27" s="20"/>
      <c r="I27" s="36"/>
      <c r="J27" s="307"/>
      <c r="K27" s="309"/>
      <c r="L27" s="247">
        <f t="shared" si="6"/>
        <v>0</v>
      </c>
      <c r="M27" s="12"/>
      <c r="N27" s="12"/>
      <c r="O27" s="12"/>
      <c r="P27" s="35">
        <v>1000</v>
      </c>
      <c r="Q27" s="546"/>
      <c r="R27" s="35" t="s">
        <v>821</v>
      </c>
      <c r="S27" s="247"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6"/>
        <v>0</v>
      </c>
      <c r="M28" s="12"/>
      <c r="N28" s="12"/>
      <c r="O28" s="12"/>
      <c r="P28" s="35">
        <v>28000</v>
      </c>
      <c r="Q28" s="546"/>
      <c r="R28" s="35" t="s">
        <v>651</v>
      </c>
      <c r="S28" s="247" t="str">
        <f>IFERROR(IF(D28="tonnes/yr", $P28*$E28/($L$20*3.6), $Q28*$E28*3.6/($L$20*3.6)), "Unfilled fields to left")</f>
        <v>Unfilled fields to left</v>
      </c>
      <c r="U28" s="21"/>
    </row>
    <row r="29" spans="2:26" s="14" customFormat="1">
      <c r="B29" s="190" t="s">
        <v>640</v>
      </c>
      <c r="C29" s="188" t="s">
        <v>824</v>
      </c>
      <c r="D29" s="183" t="s">
        <v>582</v>
      </c>
      <c r="E29" s="35"/>
      <c r="F29" s="21"/>
      <c r="G29" s="21"/>
      <c r="H29" s="20"/>
      <c r="I29" s="36"/>
      <c r="J29" s="307"/>
      <c r="K29" s="309"/>
      <c r="L29" s="247">
        <f t="shared" si="6"/>
        <v>0</v>
      </c>
      <c r="M29" s="12"/>
      <c r="N29" s="12"/>
      <c r="O29" s="12"/>
      <c r="P29" s="35">
        <v>265000</v>
      </c>
      <c r="Q29" s="546"/>
      <c r="R29" s="35" t="s">
        <v>651</v>
      </c>
      <c r="S29" s="247"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6"/>
        <v>0</v>
      </c>
      <c r="M30" s="12"/>
      <c r="N30" s="12"/>
      <c r="O30" s="12"/>
      <c r="P30" s="307"/>
      <c r="Q30" s="505"/>
      <c r="R30" s="309"/>
      <c r="S30" s="247" t="str">
        <f>IFERROR(IF(D30="tonnes/yr", $P30*$E30/($L$20*3.6), $Q30*$E30*3.6/($L$20*3.6)), "Unfilled fields to left")</f>
        <v>Unfilled fields to left</v>
      </c>
      <c r="U30" s="21"/>
    </row>
    <row r="31" spans="2:26" s="14" customFormat="1">
      <c r="B31" s="16"/>
      <c r="C31" s="15"/>
      <c r="D31" s="183"/>
      <c r="E31" s="35"/>
      <c r="F31" s="21"/>
      <c r="G31" s="21"/>
      <c r="H31" s="20"/>
      <c r="I31" s="36"/>
      <c r="J31" s="307"/>
      <c r="K31" s="309"/>
      <c r="L31" s="247">
        <f t="shared" si="6"/>
        <v>0</v>
      </c>
      <c r="M31" s="12"/>
      <c r="N31" s="12"/>
      <c r="O31" s="12"/>
      <c r="P31" s="307"/>
      <c r="Q31" s="505"/>
      <c r="R31" s="309"/>
      <c r="S31" s="247"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40"/>
      <c r="V32" s="12"/>
    </row>
    <row r="33" spans="2:22">
      <c r="D33" s="17"/>
      <c r="E33" s="144"/>
      <c r="J33" s="39"/>
      <c r="K33" s="39"/>
      <c r="M33" s="12"/>
      <c r="P33" s="39"/>
      <c r="Q33" s="39"/>
      <c r="R33" s="38" t="s">
        <v>641</v>
      </c>
      <c r="S33" s="157">
        <f>SUM(S7:S32)</f>
        <v>0</v>
      </c>
      <c r="V33" s="12"/>
    </row>
    <row r="34" spans="2:22">
      <c r="B34" s="149" t="s">
        <v>94</v>
      </c>
      <c r="C34" s="163"/>
      <c r="D34" s="163"/>
      <c r="E34" s="527"/>
      <c r="I34" s="12"/>
      <c r="J34" s="110"/>
      <c r="K34" s="110"/>
      <c r="L34" s="110"/>
      <c r="M34" s="12"/>
      <c r="P34" s="110"/>
      <c r="Q34" s="110"/>
      <c r="R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t="s">
        <v>709</v>
      </c>
      <c r="C36" s="15" t="s">
        <v>710</v>
      </c>
      <c r="D36" s="15" t="s">
        <v>222</v>
      </c>
      <c r="E36" s="529"/>
      <c r="H36" s="12"/>
      <c r="I36" s="12"/>
      <c r="J36" s="110"/>
      <c r="K36" s="110"/>
      <c r="L36" s="110"/>
      <c r="M36" s="12"/>
      <c r="P36" s="110"/>
      <c r="Q36" s="110"/>
      <c r="R36" s="110"/>
      <c r="S36" s="12"/>
      <c r="U36" s="25"/>
      <c r="V36" s="12"/>
    </row>
    <row r="37" spans="2:22">
      <c r="B37" s="16"/>
      <c r="C37" s="15"/>
      <c r="D37" s="15"/>
      <c r="E37" s="535"/>
      <c r="J37" s="39"/>
      <c r="K37" s="39"/>
      <c r="P37" s="39"/>
      <c r="Q37" s="39"/>
      <c r="R37" s="39"/>
      <c r="U37" s="25"/>
    </row>
    <row r="38" spans="2:22">
      <c r="B38" s="16"/>
      <c r="C38" s="15"/>
      <c r="D38" s="15"/>
      <c r="E38" s="535"/>
      <c r="J38" s="39"/>
      <c r="K38" s="39"/>
      <c r="P38" s="39"/>
      <c r="Q38" s="39"/>
      <c r="R38" s="39"/>
      <c r="U38" s="25"/>
    </row>
    <row r="39" spans="2:22">
      <c r="E39" s="110"/>
      <c r="J39" s="39"/>
      <c r="K39" s="39"/>
      <c r="P39" s="39"/>
      <c r="Q39" s="39"/>
      <c r="R39" s="39"/>
    </row>
    <row r="40" spans="2:22">
      <c r="E40" s="110"/>
      <c r="J40" s="39"/>
      <c r="K40" s="39"/>
      <c r="P40" s="39"/>
      <c r="Q40" s="39"/>
      <c r="R40" s="39"/>
    </row>
    <row r="41" spans="2:22">
      <c r="E41" s="110"/>
      <c r="J41" s="39"/>
      <c r="K41" s="39"/>
      <c r="P41" s="39"/>
      <c r="Q41" s="39"/>
      <c r="R41" s="39"/>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1" xr:uid="{9C1DDE20-5296-4D5F-971A-8F08581C1223}">
      <formula1>Flow_units</formula1>
    </dataValidation>
    <dataValidation type="custom" allowBlank="1" showInputMessage="1" showErrorMessage="1" error="Please do not change this formula" prompt="Please do not change this formula" sqref="L1:L1048576 S6:S1048576 T4 M4 S1:S4 N1:O4 N6:O1048576 N5:S5" xr:uid="{B96A6A0B-6C65-4F26-904C-38A4BE148E6C}">
      <formula1>"Please do not change this formula"</formula1>
    </dataValidation>
  </dataValidations>
  <hyperlinks>
    <hyperlink ref="I2:J2" location="'Biomass Gasification (+CCS)'!A1" display="Go to the next step of this pathway" xr:uid="{0E7B16DA-781E-4466-93C9-D78009F42FED}"/>
    <hyperlink ref="I2:K2" location="Biomass_Gasification_CCS!A1" display="Go to the next step of this pathway" xr:uid="{3A1EFEC2-BFB8-4927-9C44-6C6ADEA8A9C8}"/>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24" id="{0A61CFA5-8AFB-44C3-82E2-EE266AA1FFBF}">
            <xm:f>AND(Initial_questions!$E$21&lt;&gt;"Biomass Gasification with CCS",Initial_questions!$E$21&lt;&gt;"Biomass Gasification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16" id="{3EA385AB-6A74-4283-9405-450009FEF4EF}">
            <xm:f>AND(GHG_BIOMASS_GASIFICATION!$D$5="Default",Master_Switch="On")</xm:f>
            <x14:dxf>
              <font>
                <color theme="0"/>
              </font>
              <fill>
                <patternFill>
                  <bgColor theme="0"/>
                </patternFill>
              </fill>
              <border>
                <left/>
                <right/>
                <top/>
                <bottom/>
                <vertical/>
                <horizontal/>
              </border>
            </x14:dxf>
          </x14:cfRule>
          <xm:sqref>A4:XFD100</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12E44-9EC7-40B1-A9B2-D1301E84E4BA}">
  <sheetPr codeName="Sheet33">
    <tabColor rgb="FFCCFF66"/>
  </sheetPr>
  <dimension ref="A1:Z246"/>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480"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ol min="21" max="21" width="26" style="12" customWidth="1"/>
    <col min="23" max="16384" width="7.109375" style="12"/>
  </cols>
  <sheetData>
    <row r="1" spans="1:25" ht="31.8" customHeight="1">
      <c r="A1" s="83" t="str">
        <f>IF(AND(Initial_questions!$E$21&lt;&gt;"Biomass Gasification with CCS",Initial_questions!$E$21&lt;&gt;"Biomass Gasification without CCS",Master_Switch="On"),"User should not fill in this sheet, but switch to other non-blank GHG worksheets","")</f>
        <v>User should not fill in this sheet, but switch to other non-blank GHG worksheets</v>
      </c>
      <c r="E1" s="262"/>
    </row>
    <row r="2" spans="1:25" ht="20.399999999999999" customHeight="1">
      <c r="E2" s="262"/>
      <c r="I2" s="669" t="s">
        <v>754</v>
      </c>
      <c r="J2" s="671"/>
      <c r="K2" s="672"/>
    </row>
    <row r="3" spans="1:25" ht="15" customHeight="1">
      <c r="E3" s="262"/>
    </row>
    <row r="4" spans="1:25" ht="15.6" customHeight="1" thickBot="1">
      <c r="B4" s="3"/>
      <c r="C4" s="3"/>
      <c r="D4" s="3"/>
      <c r="E4" s="478"/>
      <c r="F4" s="3"/>
      <c r="G4" s="3"/>
      <c r="H4" s="1"/>
      <c r="I4" s="1"/>
      <c r="J4" s="1"/>
      <c r="K4" s="1"/>
      <c r="L4" s="37"/>
      <c r="M4" s="1"/>
      <c r="N4" s="1"/>
      <c r="O4" s="3"/>
      <c r="P4" s="1"/>
      <c r="Q4" s="1"/>
      <c r="R4" s="1"/>
      <c r="S4" s="37"/>
      <c r="T4" s="37"/>
      <c r="U4" s="37"/>
    </row>
    <row r="5" spans="1:25"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5" ht="15" thickTop="1">
      <c r="E6" s="262"/>
      <c r="H6" s="19"/>
      <c r="I6" s="19"/>
    </row>
    <row r="7" spans="1:25">
      <c r="B7" s="149" t="s">
        <v>578</v>
      </c>
      <c r="C7" s="149"/>
      <c r="D7" s="149"/>
      <c r="E7" s="332"/>
      <c r="F7" s="149"/>
      <c r="G7" s="149"/>
      <c r="H7" s="149"/>
      <c r="I7" s="149"/>
      <c r="J7" s="149"/>
      <c r="K7" s="149"/>
      <c r="L7" s="308"/>
      <c r="P7" s="18"/>
      <c r="Q7" s="18"/>
      <c r="R7" s="18"/>
      <c r="S7" s="40"/>
      <c r="V7" s="12"/>
    </row>
    <row r="8" spans="1:25">
      <c r="B8" s="16" t="s">
        <v>579</v>
      </c>
      <c r="C8" s="188" t="s">
        <v>830</v>
      </c>
      <c r="D8" s="183" t="s">
        <v>582</v>
      </c>
      <c r="E8" s="35"/>
      <c r="F8" s="24"/>
      <c r="G8" s="21"/>
      <c r="H8" s="21"/>
      <c r="I8" s="21"/>
      <c r="J8" s="307"/>
      <c r="K8" s="313"/>
      <c r="L8" s="247">
        <f t="shared" ref="L8:L17" si="0">IF($D8="MWh/yr (LHV)",$E8,$J8*$E8/Conversion_kWh_to_MJ)</f>
        <v>0</v>
      </c>
      <c r="M8" s="12"/>
      <c r="P8" s="40"/>
      <c r="Q8" s="40"/>
      <c r="R8" s="40"/>
      <c r="S8" s="40"/>
      <c r="U8" s="21"/>
      <c r="V8" s="12"/>
    </row>
    <row r="9" spans="1:25">
      <c r="B9" s="16" t="s">
        <v>581</v>
      </c>
      <c r="C9" s="15" t="s">
        <v>645</v>
      </c>
      <c r="D9" s="15" t="s">
        <v>582</v>
      </c>
      <c r="E9" s="35">
        <f>Hydrogen_flow</f>
        <v>0</v>
      </c>
      <c r="F9" s="21"/>
      <c r="G9" s="21"/>
      <c r="H9" s="21"/>
      <c r="I9" s="21"/>
      <c r="J9" s="35">
        <v>120</v>
      </c>
      <c r="K9" s="313"/>
      <c r="L9" s="247">
        <f t="shared" si="0"/>
        <v>0</v>
      </c>
      <c r="M9" s="12"/>
      <c r="N9" s="249" t="str">
        <f>IFERROR(L9/L8,"")</f>
        <v/>
      </c>
      <c r="O9" s="250" t="str">
        <f>IFERROR(L9/(SUM($L$9:$L$18)),"")</f>
        <v/>
      </c>
      <c r="P9" s="42"/>
      <c r="Q9" s="42"/>
      <c r="R9" s="42"/>
      <c r="S9" s="12"/>
      <c r="U9" s="21"/>
      <c r="V9" s="12"/>
    </row>
    <row r="10" spans="1:25">
      <c r="B10" s="190" t="s">
        <v>583</v>
      </c>
      <c r="C10" s="188" t="s">
        <v>584</v>
      </c>
      <c r="D10" s="183" t="s">
        <v>747</v>
      </c>
      <c r="E10" s="35"/>
      <c r="F10" s="21"/>
      <c r="G10" s="21"/>
      <c r="H10" s="20"/>
      <c r="I10" s="33"/>
      <c r="J10" s="307"/>
      <c r="K10" s="309"/>
      <c r="L10" s="247">
        <f t="shared" si="0"/>
        <v>0</v>
      </c>
      <c r="M10" s="12"/>
      <c r="O10" s="250" t="str">
        <f>IFERROR(L10/(SUM($L$9:$L$18)),"")</f>
        <v/>
      </c>
      <c r="P10" s="42"/>
      <c r="Q10" s="42"/>
      <c r="R10" s="42"/>
      <c r="S10" s="19"/>
      <c r="T10" s="23"/>
      <c r="U10" s="21"/>
      <c r="V10" s="12"/>
    </row>
    <row r="11" spans="1:25">
      <c r="B11" s="190" t="s">
        <v>583</v>
      </c>
      <c r="C11" s="188" t="s">
        <v>646</v>
      </c>
      <c r="D11" s="183" t="s">
        <v>747</v>
      </c>
      <c r="E11" s="35"/>
      <c r="F11" s="21"/>
      <c r="G11" s="21"/>
      <c r="H11" s="20"/>
      <c r="I11" s="20"/>
      <c r="J11" s="309"/>
      <c r="K11" s="309"/>
      <c r="L11" s="247">
        <f t="shared" si="0"/>
        <v>0</v>
      </c>
      <c r="M11" s="12"/>
      <c r="O11" s="250" t="str">
        <f>IFERROR(L11/(SUM($L$9:$L$18)),"")</f>
        <v/>
      </c>
      <c r="P11" s="42"/>
      <c r="Q11" s="42"/>
      <c r="R11" s="42"/>
      <c r="S11" s="14"/>
      <c r="T11" s="23"/>
      <c r="U11" s="21"/>
      <c r="V11" s="12"/>
    </row>
    <row r="12" spans="1:25">
      <c r="B12" s="190" t="s">
        <v>583</v>
      </c>
      <c r="C12" s="188" t="s">
        <v>805</v>
      </c>
      <c r="D12" s="183" t="s">
        <v>582</v>
      </c>
      <c r="E12" s="35"/>
      <c r="F12" s="21"/>
      <c r="G12" s="21"/>
      <c r="H12" s="20"/>
      <c r="I12" s="20"/>
      <c r="J12" s="309"/>
      <c r="K12" s="309"/>
      <c r="L12" s="247">
        <f t="shared" si="0"/>
        <v>0</v>
      </c>
      <c r="M12" s="12"/>
      <c r="O12" s="250" t="str">
        <f>IFERROR(L12/(SUM($L$9:$L$18)),"")</f>
        <v/>
      </c>
      <c r="P12" s="40"/>
      <c r="Q12" s="40"/>
      <c r="R12" s="40"/>
      <c r="S12" s="40"/>
      <c r="U12" s="21"/>
      <c r="V12" s="12"/>
    </row>
    <row r="13" spans="1:25">
      <c r="B13" s="190" t="s">
        <v>583</v>
      </c>
      <c r="C13" s="188" t="s">
        <v>806</v>
      </c>
      <c r="D13" s="183" t="s">
        <v>582</v>
      </c>
      <c r="E13" s="35"/>
      <c r="F13" s="21"/>
      <c r="G13" s="21"/>
      <c r="H13" s="20"/>
      <c r="I13" s="20"/>
      <c r="J13" s="309"/>
      <c r="K13" s="309"/>
      <c r="L13" s="247">
        <f t="shared" si="0"/>
        <v>0</v>
      </c>
      <c r="M13" s="12"/>
      <c r="O13" s="250" t="str">
        <f>IFERROR(L13/(SUM($L$9:$L$18)),"")</f>
        <v/>
      </c>
      <c r="P13" s="40"/>
      <c r="Q13" s="40"/>
      <c r="R13" s="40"/>
      <c r="S13" s="40"/>
      <c r="U13" s="21"/>
      <c r="V13" s="12"/>
    </row>
    <row r="14" spans="1:25" s="14" customFormat="1">
      <c r="B14" s="190" t="s">
        <v>586</v>
      </c>
      <c r="C14" s="188" t="s">
        <v>587</v>
      </c>
      <c r="D14" s="183" t="s">
        <v>582</v>
      </c>
      <c r="E14" s="35"/>
      <c r="F14" s="21"/>
      <c r="G14" s="21"/>
      <c r="H14" s="20"/>
      <c r="I14" s="20"/>
      <c r="J14" s="309"/>
      <c r="K14" s="309"/>
      <c r="L14" s="247">
        <f t="shared" si="0"/>
        <v>0</v>
      </c>
      <c r="M14" s="12"/>
      <c r="N14" s="12"/>
      <c r="O14" s="12"/>
      <c r="P14" s="110"/>
      <c r="Q14" s="110"/>
      <c r="R14" s="110"/>
      <c r="S14" s="12"/>
      <c r="T14" s="23"/>
      <c r="U14" s="21"/>
      <c r="V14" s="23"/>
      <c r="W14" s="42"/>
      <c r="Y14" s="12"/>
    </row>
    <row r="15" spans="1:25" s="14" customFormat="1">
      <c r="B15" s="190" t="s">
        <v>586</v>
      </c>
      <c r="C15" s="188" t="s">
        <v>588</v>
      </c>
      <c r="D15" s="183" t="s">
        <v>582</v>
      </c>
      <c r="E15" s="35"/>
      <c r="F15" s="21"/>
      <c r="G15" s="21"/>
      <c r="H15" s="20"/>
      <c r="I15" s="20"/>
      <c r="J15" s="309"/>
      <c r="K15" s="309"/>
      <c r="L15" s="247">
        <f t="shared" si="0"/>
        <v>0</v>
      </c>
      <c r="M15" s="12"/>
      <c r="N15" s="12"/>
      <c r="O15" s="12"/>
      <c r="P15" s="110"/>
      <c r="Q15" s="110"/>
      <c r="R15" s="110"/>
      <c r="S15" s="12"/>
      <c r="T15" s="23"/>
      <c r="U15" s="21"/>
      <c r="V15" s="23"/>
      <c r="W15" s="42"/>
      <c r="Y15" s="12"/>
    </row>
    <row r="16" spans="1:25" s="14" customFormat="1">
      <c r="B16" s="190" t="s">
        <v>589</v>
      </c>
      <c r="C16" s="188" t="s">
        <v>590</v>
      </c>
      <c r="D16" s="183" t="s">
        <v>582</v>
      </c>
      <c r="E16" s="35"/>
      <c r="F16" s="21"/>
      <c r="G16" s="21"/>
      <c r="H16" s="20"/>
      <c r="I16" s="36"/>
      <c r="J16" s="307"/>
      <c r="K16" s="309"/>
      <c r="L16" s="247">
        <f t="shared" si="0"/>
        <v>0</v>
      </c>
      <c r="M16" s="12"/>
      <c r="N16" s="12"/>
      <c r="O16" s="12"/>
      <c r="P16" s="110"/>
      <c r="Q16" s="110"/>
      <c r="R16" s="110"/>
      <c r="S16" s="12"/>
      <c r="U16" s="21"/>
    </row>
    <row r="17" spans="2:26" s="14" customFormat="1">
      <c r="B17" s="190" t="s">
        <v>589</v>
      </c>
      <c r="C17" s="188" t="s">
        <v>591</v>
      </c>
      <c r="D17" s="183" t="s">
        <v>582</v>
      </c>
      <c r="E17" s="35"/>
      <c r="F17" s="21"/>
      <c r="G17" s="21"/>
      <c r="H17" s="20"/>
      <c r="I17" s="36"/>
      <c r="J17" s="307"/>
      <c r="K17" s="309"/>
      <c r="L17" s="247">
        <f t="shared" si="0"/>
        <v>0</v>
      </c>
      <c r="M17" s="12"/>
      <c r="N17" s="12"/>
      <c r="O17" s="12"/>
      <c r="P17" s="110"/>
      <c r="Q17" s="110"/>
      <c r="R17" s="110"/>
      <c r="S17" s="12"/>
      <c r="U17" s="21"/>
    </row>
    <row r="18" spans="2:26">
      <c r="B18" s="71"/>
      <c r="C18" s="72"/>
      <c r="D18" s="81"/>
      <c r="E18" s="78"/>
      <c r="F18" s="79"/>
      <c r="G18" s="82"/>
      <c r="H18" s="74"/>
      <c r="I18" s="74"/>
      <c r="J18" s="78"/>
      <c r="K18" s="76"/>
      <c r="L18" s="76"/>
      <c r="M18" s="12"/>
      <c r="P18" s="40"/>
      <c r="Q18" s="40"/>
      <c r="R18" s="40"/>
      <c r="S18" s="40"/>
      <c r="U18" s="79"/>
      <c r="V18" s="12"/>
    </row>
    <row r="19" spans="2:26" ht="31.2">
      <c r="B19" s="83" t="str">
        <f>IF(AND(GHG_BIOMASS_GASIFICATION!$D$9="Default",Master_Switch="On"),"Default data selected for the category below, move to the next category of the module","")</f>
        <v/>
      </c>
      <c r="C19" s="72"/>
      <c r="D19" s="81"/>
      <c r="E19" s="78"/>
      <c r="F19" s="79"/>
      <c r="G19" s="82"/>
      <c r="H19" s="74"/>
      <c r="I19" s="74"/>
      <c r="J19" s="78"/>
      <c r="K19" s="76"/>
      <c r="L19" s="76"/>
      <c r="M19" s="12"/>
      <c r="P19" s="40"/>
      <c r="Q19" s="40"/>
      <c r="R19" s="40"/>
      <c r="S19" s="40"/>
      <c r="U19" s="79"/>
      <c r="V19" s="12"/>
    </row>
    <row r="20" spans="2:26">
      <c r="B20" s="149" t="s">
        <v>890</v>
      </c>
      <c r="C20" s="150"/>
      <c r="D20" s="150"/>
      <c r="E20" s="151"/>
      <c r="F20" s="152"/>
      <c r="G20" s="153"/>
      <c r="H20" s="154"/>
      <c r="I20" s="154"/>
      <c r="J20" s="151"/>
      <c r="K20" s="520"/>
      <c r="L20" s="519"/>
      <c r="M20" s="155"/>
      <c r="N20" s="156"/>
      <c r="O20" s="156"/>
      <c r="P20" s="508"/>
      <c r="Q20" s="508"/>
      <c r="R20" s="508"/>
      <c r="S20" s="157">
        <f>SUM(S21:S30)</f>
        <v>0</v>
      </c>
      <c r="V20" s="12"/>
    </row>
    <row r="21" spans="2:26">
      <c r="B21" s="190" t="s">
        <v>592</v>
      </c>
      <c r="C21" s="188" t="s">
        <v>682</v>
      </c>
      <c r="D21" s="183" t="s">
        <v>747</v>
      </c>
      <c r="E21" s="35"/>
      <c r="F21" s="24"/>
      <c r="G21" s="21"/>
      <c r="H21" s="21"/>
      <c r="I21" s="21"/>
      <c r="J21" s="310"/>
      <c r="K21" s="313"/>
      <c r="L21" s="247">
        <f t="shared" ref="L21:L30" si="1">IF($D21="MWh/yr (LHV)",$E21,$J21*$E21/Conversion_kWh_to_MJ)</f>
        <v>0</v>
      </c>
      <c r="M21" s="12"/>
      <c r="P21" s="35" t="str">
        <f t="shared" ref="P21:P30" si="2">IF(B21="", "", IF(D21="MWh/yr (LHV)", "Use column to right", "Enter data here"))</f>
        <v>Use column to right</v>
      </c>
      <c r="Q21" s="35" t="e">
        <f>IF(B21="", "", IF(D21="MWh/yr (LHV)", Initial_questions!$E$41*1000/Conversion_kWh_to_MJ, "Use column to left"))</f>
        <v>#VALUE!</v>
      </c>
      <c r="R21" s="35" t="s">
        <v>799</v>
      </c>
      <c r="S21" s="248" t="str">
        <f t="shared" ref="S21:S30" si="3">IFERROR(IF(D21="tonnes/yr", $P21*$E21/($L$9*3.6), $Q21*$E21*3.6/($L$9*3.6)), "Unfilled fields to left")</f>
        <v>Unfilled fields to left</v>
      </c>
      <c r="U21" s="21"/>
      <c r="V21" s="12"/>
    </row>
    <row r="22" spans="2:26" s="14" customFormat="1">
      <c r="B22" s="190" t="s">
        <v>592</v>
      </c>
      <c r="C22" s="188" t="s">
        <v>597</v>
      </c>
      <c r="D22" s="183" t="s">
        <v>747</v>
      </c>
      <c r="E22" s="35"/>
      <c r="F22" s="24"/>
      <c r="G22" s="21"/>
      <c r="H22" s="66"/>
      <c r="I22" s="66"/>
      <c r="J22" s="311"/>
      <c r="K22" s="313"/>
      <c r="L22" s="247">
        <f t="shared" si="1"/>
        <v>0</v>
      </c>
      <c r="M22" s="19"/>
      <c r="N22" s="19"/>
      <c r="O22" s="19"/>
      <c r="P22" s="35" t="str">
        <f t="shared" si="2"/>
        <v>Use column to right</v>
      </c>
      <c r="Q22" s="35" t="str">
        <f t="shared" ref="Q22:Q30" si="4">IF(B22="", "", IF(D22="MWh/yr (LHV)", "Enter data here", "Use column to left"))</f>
        <v>Enter data here</v>
      </c>
      <c r="R22" s="35" t="s">
        <v>899</v>
      </c>
      <c r="S22" s="367" t="str">
        <f t="shared" si="3"/>
        <v>Unfilled fields to left</v>
      </c>
      <c r="U22" s="21"/>
    </row>
    <row r="23" spans="2:26" s="14" customFormat="1">
      <c r="B23" s="190" t="s">
        <v>592</v>
      </c>
      <c r="C23" s="188" t="s">
        <v>598</v>
      </c>
      <c r="D23" s="183" t="s">
        <v>747</v>
      </c>
      <c r="E23" s="35"/>
      <c r="F23" s="24"/>
      <c r="G23" s="21"/>
      <c r="H23" s="66"/>
      <c r="I23" s="66"/>
      <c r="J23" s="311"/>
      <c r="K23" s="313"/>
      <c r="L23" s="247">
        <f t="shared" si="1"/>
        <v>0</v>
      </c>
      <c r="M23" s="19"/>
      <c r="N23" s="19"/>
      <c r="O23" s="19"/>
      <c r="P23" s="511" t="str">
        <f t="shared" si="2"/>
        <v>Use column to right</v>
      </c>
      <c r="Q23" s="35" t="str">
        <f t="shared" si="4"/>
        <v>Enter data here</v>
      </c>
      <c r="R23" s="35" t="s">
        <v>899</v>
      </c>
      <c r="S23" s="367" t="str">
        <f t="shared" si="3"/>
        <v>Unfilled fields to left</v>
      </c>
      <c r="U23" s="68"/>
    </row>
    <row r="24" spans="2:26">
      <c r="B24" s="190" t="s">
        <v>599</v>
      </c>
      <c r="C24" s="188" t="s">
        <v>600</v>
      </c>
      <c r="D24" s="183" t="s">
        <v>582</v>
      </c>
      <c r="E24" s="35"/>
      <c r="F24" s="85"/>
      <c r="G24" s="21"/>
      <c r="H24" s="20"/>
      <c r="I24" s="36"/>
      <c r="J24" s="307"/>
      <c r="K24" s="309"/>
      <c r="L24" s="247">
        <f t="shared" si="1"/>
        <v>0</v>
      </c>
      <c r="M24" s="12"/>
      <c r="P24" s="35" t="str">
        <f t="shared" si="2"/>
        <v>Enter data here</v>
      </c>
      <c r="Q24" s="35" t="str">
        <f t="shared" si="4"/>
        <v>Use column to left</v>
      </c>
      <c r="R24" s="35" t="s">
        <v>899</v>
      </c>
      <c r="S24" s="367" t="str">
        <f t="shared" si="3"/>
        <v>Unfilled fields to left</v>
      </c>
      <c r="U24" s="25"/>
      <c r="V24" s="12"/>
    </row>
    <row r="25" spans="2:26">
      <c r="B25" s="190" t="s">
        <v>599</v>
      </c>
      <c r="C25" s="188" t="s">
        <v>601</v>
      </c>
      <c r="D25" s="183" t="s">
        <v>582</v>
      </c>
      <c r="E25" s="35"/>
      <c r="F25" s="21"/>
      <c r="G25" s="21"/>
      <c r="H25" s="20"/>
      <c r="I25" s="36"/>
      <c r="J25" s="307"/>
      <c r="K25" s="309"/>
      <c r="L25" s="247">
        <f t="shared" si="1"/>
        <v>0</v>
      </c>
      <c r="M25" s="12"/>
      <c r="P25" s="35" t="str">
        <f t="shared" si="2"/>
        <v>Enter data here</v>
      </c>
      <c r="Q25" s="35" t="str">
        <f t="shared" si="4"/>
        <v>Use column to left</v>
      </c>
      <c r="R25" s="35" t="s">
        <v>899</v>
      </c>
      <c r="S25" s="367" t="str">
        <f t="shared" si="3"/>
        <v>Unfilled fields to left</v>
      </c>
      <c r="U25" s="25"/>
      <c r="V25" s="12"/>
    </row>
    <row r="26" spans="2:26">
      <c r="B26" s="190" t="s">
        <v>599</v>
      </c>
      <c r="C26" s="188" t="s">
        <v>602</v>
      </c>
      <c r="D26" s="183" t="s">
        <v>582</v>
      </c>
      <c r="E26" s="35"/>
      <c r="F26" s="21"/>
      <c r="G26" s="21"/>
      <c r="H26" s="20"/>
      <c r="I26" s="36"/>
      <c r="J26" s="307"/>
      <c r="K26" s="309"/>
      <c r="L26" s="247">
        <f t="shared" si="1"/>
        <v>0</v>
      </c>
      <c r="M26" s="19"/>
      <c r="N26" s="19"/>
      <c r="O26" s="19"/>
      <c r="P26" s="35" t="str">
        <f t="shared" si="2"/>
        <v>Enter data here</v>
      </c>
      <c r="Q26" s="35" t="str">
        <f t="shared" si="4"/>
        <v>Use column to left</v>
      </c>
      <c r="R26" s="35" t="s">
        <v>899</v>
      </c>
      <c r="S26" s="367" t="str">
        <f t="shared" si="3"/>
        <v>Unfilled fields to left</v>
      </c>
      <c r="T26" s="19"/>
      <c r="U26" s="25"/>
      <c r="V26" s="19"/>
      <c r="W26" s="19"/>
      <c r="X26" s="19"/>
      <c r="Y26" s="19"/>
      <c r="Z26" s="19"/>
    </row>
    <row r="27" spans="2:26">
      <c r="B27" s="16"/>
      <c r="C27" s="15"/>
      <c r="D27" s="183"/>
      <c r="E27" s="35"/>
      <c r="F27" s="21"/>
      <c r="G27" s="21"/>
      <c r="H27" s="20"/>
      <c r="I27" s="36"/>
      <c r="J27" s="307"/>
      <c r="K27" s="309"/>
      <c r="L27" s="247">
        <f t="shared" si="1"/>
        <v>0</v>
      </c>
      <c r="M27" s="19"/>
      <c r="N27" s="19"/>
      <c r="O27" s="19"/>
      <c r="P27" s="35" t="str">
        <f t="shared" si="2"/>
        <v/>
      </c>
      <c r="Q27" s="35" t="str">
        <f t="shared" si="4"/>
        <v/>
      </c>
      <c r="R27" s="35"/>
      <c r="S27" s="367" t="str">
        <f t="shared" si="3"/>
        <v>Unfilled fields to left</v>
      </c>
      <c r="T27" s="19"/>
      <c r="U27" s="25"/>
      <c r="V27" s="19"/>
      <c r="W27" s="19"/>
      <c r="X27" s="19"/>
      <c r="Y27" s="19"/>
      <c r="Z27" s="19"/>
    </row>
    <row r="28" spans="2:26">
      <c r="B28" s="16"/>
      <c r="C28" s="15"/>
      <c r="D28" s="183"/>
      <c r="E28" s="35"/>
      <c r="F28" s="21"/>
      <c r="G28" s="21"/>
      <c r="H28" s="20"/>
      <c r="I28" s="36"/>
      <c r="J28" s="307"/>
      <c r="K28" s="309"/>
      <c r="L28" s="247">
        <f t="shared" si="1"/>
        <v>0</v>
      </c>
      <c r="M28" s="19"/>
      <c r="N28" s="19"/>
      <c r="O28" s="19"/>
      <c r="P28" s="35" t="str">
        <f t="shared" si="2"/>
        <v/>
      </c>
      <c r="Q28" s="35" t="str">
        <f t="shared" si="4"/>
        <v/>
      </c>
      <c r="R28" s="35"/>
      <c r="S28" s="367" t="str">
        <f t="shared" si="3"/>
        <v>Unfilled fields to left</v>
      </c>
      <c r="T28" s="19"/>
      <c r="U28" s="25"/>
      <c r="V28" s="19"/>
      <c r="W28" s="19"/>
      <c r="X28" s="19"/>
      <c r="Y28" s="19"/>
      <c r="Z28" s="19"/>
    </row>
    <row r="29" spans="2:26">
      <c r="B29" s="16"/>
      <c r="C29" s="15"/>
      <c r="D29" s="183"/>
      <c r="E29" s="35"/>
      <c r="F29" s="21"/>
      <c r="G29" s="21"/>
      <c r="H29" s="20"/>
      <c r="I29" s="36"/>
      <c r="J29" s="307"/>
      <c r="K29" s="309"/>
      <c r="L29" s="247">
        <f t="shared" si="1"/>
        <v>0</v>
      </c>
      <c r="M29" s="19"/>
      <c r="N29" s="19"/>
      <c r="O29" s="19"/>
      <c r="P29" s="35" t="str">
        <f t="shared" si="2"/>
        <v/>
      </c>
      <c r="Q29" s="35" t="str">
        <f t="shared" si="4"/>
        <v/>
      </c>
      <c r="R29" s="35"/>
      <c r="S29" s="367" t="str">
        <f t="shared" si="3"/>
        <v>Unfilled fields to left</v>
      </c>
      <c r="T29" s="19"/>
      <c r="U29" s="25"/>
      <c r="V29" s="19"/>
      <c r="W29" s="19"/>
      <c r="X29" s="19"/>
      <c r="Y29" s="19"/>
      <c r="Z29" s="19"/>
    </row>
    <row r="30" spans="2:26">
      <c r="B30" s="16"/>
      <c r="C30" s="15"/>
      <c r="D30" s="183"/>
      <c r="E30" s="35"/>
      <c r="F30" s="21"/>
      <c r="G30" s="21"/>
      <c r="H30" s="20"/>
      <c r="I30" s="36"/>
      <c r="J30" s="307"/>
      <c r="K30" s="309"/>
      <c r="L30" s="247">
        <f t="shared" si="1"/>
        <v>0</v>
      </c>
      <c r="M30" s="19"/>
      <c r="N30" s="19"/>
      <c r="O30" s="19"/>
      <c r="P30" s="35" t="str">
        <f t="shared" si="2"/>
        <v/>
      </c>
      <c r="Q30" s="35" t="str">
        <f t="shared" si="4"/>
        <v/>
      </c>
      <c r="R30" s="35"/>
      <c r="S30" s="367" t="str">
        <f t="shared" si="3"/>
        <v>Unfilled fields to left</v>
      </c>
      <c r="T30" s="19"/>
      <c r="U30" s="25"/>
      <c r="V30" s="19"/>
      <c r="W30" s="19"/>
      <c r="X30" s="19"/>
      <c r="Y30" s="19"/>
      <c r="Z30" s="19"/>
    </row>
    <row r="31" spans="2:26">
      <c r="C31" s="72"/>
      <c r="D31" s="72"/>
      <c r="E31" s="532"/>
      <c r="F31" s="73"/>
      <c r="G31" s="73"/>
      <c r="H31" s="74"/>
      <c r="I31" s="75"/>
      <c r="J31" s="78"/>
      <c r="K31" s="76"/>
      <c r="L31" s="76"/>
      <c r="M31" s="12"/>
      <c r="P31" s="78"/>
      <c r="Q31" s="76"/>
      <c r="R31" s="76"/>
      <c r="S31" s="76"/>
      <c r="U31" s="77"/>
      <c r="V31" s="12"/>
    </row>
    <row r="32" spans="2:26" ht="31.2">
      <c r="B32" s="83" t="str">
        <f>IF(AND(GHG_BIOMASS_GASIFICATION!$D$10="Default",Master_Switch="On"),"Default data selected for the category below, move to the next category of the module","")</f>
        <v/>
      </c>
      <c r="C32" s="72"/>
      <c r="D32" s="72"/>
      <c r="E32" s="532"/>
      <c r="F32" s="73"/>
      <c r="G32" s="73"/>
      <c r="H32" s="74"/>
      <c r="I32" s="75"/>
      <c r="J32" s="78"/>
      <c r="K32" s="76"/>
      <c r="L32" s="76"/>
      <c r="M32" s="12"/>
      <c r="P32" s="78"/>
      <c r="Q32" s="76"/>
      <c r="R32" s="76"/>
      <c r="S32" s="76"/>
      <c r="U32" s="77"/>
      <c r="V32" s="12"/>
    </row>
    <row r="33" spans="2:22" ht="15.6">
      <c r="B33" s="149" t="s">
        <v>889</v>
      </c>
      <c r="C33" s="158"/>
      <c r="D33" s="158"/>
      <c r="E33" s="533"/>
      <c r="F33" s="159"/>
      <c r="G33" s="159"/>
      <c r="H33" s="160"/>
      <c r="I33" s="161"/>
      <c r="J33" s="312"/>
      <c r="K33" s="504"/>
      <c r="L33" s="504"/>
      <c r="M33" s="162"/>
      <c r="N33" s="162"/>
      <c r="O33" s="162"/>
      <c r="P33" s="312"/>
      <c r="Q33" s="504"/>
      <c r="R33" s="504"/>
      <c r="S33" s="157">
        <f>SUM(S34:S43)</f>
        <v>0</v>
      </c>
      <c r="U33" s="77"/>
      <c r="V33" s="12"/>
    </row>
    <row r="34" spans="2:22">
      <c r="B34" s="190" t="s">
        <v>603</v>
      </c>
      <c r="C34" s="188" t="s">
        <v>650</v>
      </c>
      <c r="D34" s="183" t="s">
        <v>582</v>
      </c>
      <c r="E34" s="35"/>
      <c r="F34" s="21"/>
      <c r="G34" s="21"/>
      <c r="H34" s="21"/>
      <c r="I34" s="21"/>
      <c r="J34" s="313"/>
      <c r="K34" s="313"/>
      <c r="L34" s="247">
        <f t="shared" ref="L34:L43" si="5">IF($D34="MWh/yr (LHV)",$E34,$J34*$E34/Conversion_kWh_to_MJ)</f>
        <v>0</v>
      </c>
      <c r="M34" s="12"/>
      <c r="P34" s="35" t="s">
        <v>881</v>
      </c>
      <c r="Q34" s="35" t="s">
        <v>882</v>
      </c>
      <c r="R34" s="35" t="s">
        <v>899</v>
      </c>
      <c r="S34" s="247" t="str">
        <f t="shared" ref="S34:S43" si="6">IFERROR(IF(D34="tonnes/yr", $P34*$E34/($L$9*3.6), $Q34*$E34*3.6/($L$9*3.6)), "Unfilled fields to left")</f>
        <v>Unfilled fields to left</v>
      </c>
      <c r="U34" s="21"/>
      <c r="V34" s="12"/>
    </row>
    <row r="35" spans="2:22">
      <c r="B35" s="190" t="s">
        <v>605</v>
      </c>
      <c r="C35" s="188" t="s">
        <v>683</v>
      </c>
      <c r="D35" s="183" t="s">
        <v>582</v>
      </c>
      <c r="E35" s="35"/>
      <c r="F35" s="24"/>
      <c r="G35" s="21"/>
      <c r="H35" s="20"/>
      <c r="I35" s="36"/>
      <c r="J35" s="307"/>
      <c r="K35" s="309"/>
      <c r="L35" s="247">
        <f t="shared" si="5"/>
        <v>0</v>
      </c>
      <c r="M35" s="12"/>
      <c r="P35" s="35" t="s">
        <v>881</v>
      </c>
      <c r="Q35" s="35" t="s">
        <v>882</v>
      </c>
      <c r="R35" s="35" t="s">
        <v>899</v>
      </c>
      <c r="S35" s="247" t="str">
        <f t="shared" si="6"/>
        <v>Unfilled fields to left</v>
      </c>
      <c r="U35" s="25"/>
      <c r="V35" s="12"/>
    </row>
    <row r="36" spans="2:22">
      <c r="B36" s="190" t="s">
        <v>605</v>
      </c>
      <c r="C36" s="188" t="s">
        <v>585</v>
      </c>
      <c r="D36" s="183" t="s">
        <v>582</v>
      </c>
      <c r="E36" s="35"/>
      <c r="F36" s="21"/>
      <c r="G36" s="21"/>
      <c r="H36" s="20"/>
      <c r="I36" s="36"/>
      <c r="J36" s="307"/>
      <c r="K36" s="309"/>
      <c r="L36" s="247">
        <f t="shared" si="5"/>
        <v>0</v>
      </c>
      <c r="M36" s="12"/>
      <c r="P36" s="35" t="s">
        <v>881</v>
      </c>
      <c r="Q36" s="35" t="s">
        <v>882</v>
      </c>
      <c r="R36" s="35" t="s">
        <v>899</v>
      </c>
      <c r="S36" s="247" t="str">
        <f t="shared" si="6"/>
        <v>Unfilled fields to left</v>
      </c>
      <c r="U36" s="25"/>
      <c r="V36" s="12"/>
    </row>
    <row r="37" spans="2:22">
      <c r="B37" s="190" t="s">
        <v>605</v>
      </c>
      <c r="C37" s="188" t="s">
        <v>607</v>
      </c>
      <c r="D37" s="183" t="s">
        <v>582</v>
      </c>
      <c r="E37" s="35"/>
      <c r="F37" s="21"/>
      <c r="G37" s="21"/>
      <c r="H37" s="20"/>
      <c r="I37" s="36"/>
      <c r="J37" s="307"/>
      <c r="K37" s="309"/>
      <c r="L37" s="247">
        <f t="shared" si="5"/>
        <v>0</v>
      </c>
      <c r="M37" s="12"/>
      <c r="P37" s="35" t="s">
        <v>881</v>
      </c>
      <c r="Q37" s="35" t="s">
        <v>882</v>
      </c>
      <c r="R37" s="35" t="s">
        <v>899</v>
      </c>
      <c r="S37" s="247" t="str">
        <f t="shared" si="6"/>
        <v>Unfilled fields to left</v>
      </c>
      <c r="U37" s="25"/>
      <c r="V37" s="12"/>
    </row>
    <row r="38" spans="2:22">
      <c r="B38" s="190" t="s">
        <v>657</v>
      </c>
      <c r="C38" s="188" t="s">
        <v>609</v>
      </c>
      <c r="D38" s="183" t="s">
        <v>582</v>
      </c>
      <c r="E38" s="35"/>
      <c r="F38" s="21"/>
      <c r="G38" s="21"/>
      <c r="H38" s="20"/>
      <c r="I38" s="36"/>
      <c r="J38" s="307"/>
      <c r="K38" s="309"/>
      <c r="L38" s="247">
        <f t="shared" si="5"/>
        <v>0</v>
      </c>
      <c r="M38" s="12"/>
      <c r="P38" s="35" t="s">
        <v>881</v>
      </c>
      <c r="Q38" s="35" t="s">
        <v>882</v>
      </c>
      <c r="R38" s="35" t="s">
        <v>899</v>
      </c>
      <c r="S38" s="247" t="str">
        <f t="shared" si="6"/>
        <v>Unfilled fields to left</v>
      </c>
      <c r="U38" s="25"/>
      <c r="V38" s="12"/>
    </row>
    <row r="39" spans="2:22">
      <c r="B39" s="190" t="s">
        <v>657</v>
      </c>
      <c r="C39" s="188"/>
      <c r="D39" s="183"/>
      <c r="E39" s="35"/>
      <c r="F39" s="21"/>
      <c r="G39" s="21"/>
      <c r="H39" s="20"/>
      <c r="I39" s="36"/>
      <c r="J39" s="307"/>
      <c r="K39" s="309"/>
      <c r="L39" s="247">
        <f t="shared" si="5"/>
        <v>0</v>
      </c>
      <c r="M39" s="12"/>
      <c r="P39" s="35" t="s">
        <v>881</v>
      </c>
      <c r="Q39" s="35" t="s">
        <v>882</v>
      </c>
      <c r="R39" s="35" t="s">
        <v>899</v>
      </c>
      <c r="S39" s="247" t="str">
        <f t="shared" si="6"/>
        <v>Unfilled fields to left</v>
      </c>
      <c r="U39" s="25"/>
      <c r="V39" s="12"/>
    </row>
    <row r="40" spans="2:22">
      <c r="B40" s="16"/>
      <c r="C40" s="15"/>
      <c r="D40" s="183"/>
      <c r="E40" s="35"/>
      <c r="F40" s="57"/>
      <c r="G40" s="21"/>
      <c r="H40" s="20"/>
      <c r="I40" s="36"/>
      <c r="J40" s="307"/>
      <c r="K40" s="309"/>
      <c r="L40" s="247">
        <f t="shared" si="5"/>
        <v>0</v>
      </c>
      <c r="M40" s="12"/>
      <c r="P40" s="35" t="s">
        <v>883</v>
      </c>
      <c r="Q40" s="35" t="s">
        <v>883</v>
      </c>
      <c r="R40" s="35"/>
      <c r="S40" s="247" t="str">
        <f t="shared" si="6"/>
        <v>Unfilled fields to left</v>
      </c>
      <c r="U40" s="25"/>
      <c r="V40" s="12"/>
    </row>
    <row r="41" spans="2:22">
      <c r="B41" s="16"/>
      <c r="C41" s="15"/>
      <c r="D41" s="183"/>
      <c r="E41" s="35"/>
      <c r="F41" s="57"/>
      <c r="G41" s="21"/>
      <c r="H41" s="20"/>
      <c r="I41" s="36"/>
      <c r="J41" s="307"/>
      <c r="K41" s="309"/>
      <c r="L41" s="247">
        <f t="shared" si="5"/>
        <v>0</v>
      </c>
      <c r="M41" s="12"/>
      <c r="P41" s="35" t="s">
        <v>883</v>
      </c>
      <c r="Q41" s="35" t="s">
        <v>883</v>
      </c>
      <c r="R41" s="35"/>
      <c r="S41" s="247" t="str">
        <f t="shared" si="6"/>
        <v>Unfilled fields to left</v>
      </c>
      <c r="U41" s="25"/>
      <c r="V41" s="12"/>
    </row>
    <row r="42" spans="2:22">
      <c r="B42" s="16"/>
      <c r="C42" s="15"/>
      <c r="D42" s="183"/>
      <c r="E42" s="35"/>
      <c r="F42" s="57"/>
      <c r="G42" s="21"/>
      <c r="H42" s="20"/>
      <c r="I42" s="36"/>
      <c r="J42" s="307"/>
      <c r="K42" s="309"/>
      <c r="L42" s="247">
        <f t="shared" si="5"/>
        <v>0</v>
      </c>
      <c r="M42" s="12"/>
      <c r="P42" s="35" t="s">
        <v>883</v>
      </c>
      <c r="Q42" s="35" t="s">
        <v>883</v>
      </c>
      <c r="R42" s="35"/>
      <c r="S42" s="247" t="str">
        <f t="shared" si="6"/>
        <v>Unfilled fields to left</v>
      </c>
      <c r="U42" s="25"/>
      <c r="V42" s="12"/>
    </row>
    <row r="43" spans="2:22">
      <c r="B43" s="16"/>
      <c r="C43" s="15"/>
      <c r="D43" s="183"/>
      <c r="E43" s="35"/>
      <c r="F43" s="21"/>
      <c r="G43" s="21"/>
      <c r="H43" s="20"/>
      <c r="I43" s="36"/>
      <c r="J43" s="307"/>
      <c r="K43" s="309"/>
      <c r="L43" s="247">
        <f t="shared" si="5"/>
        <v>0</v>
      </c>
      <c r="M43" s="12"/>
      <c r="P43" s="35" t="s">
        <v>883</v>
      </c>
      <c r="Q43" s="35" t="s">
        <v>883</v>
      </c>
      <c r="R43" s="35"/>
      <c r="S43" s="247" t="str">
        <f t="shared" si="6"/>
        <v>Unfilled fields to left</v>
      </c>
      <c r="U43" s="25"/>
      <c r="V43" s="12"/>
    </row>
    <row r="44" spans="2:22" s="14" customFormat="1">
      <c r="B44" s="71"/>
      <c r="C44" s="72"/>
      <c r="D44" s="72"/>
      <c r="E44" s="532"/>
      <c r="F44" s="73"/>
      <c r="G44" s="73"/>
      <c r="H44" s="73"/>
      <c r="I44" s="73"/>
      <c r="J44" s="146"/>
      <c r="K44" s="146"/>
      <c r="L44" s="76"/>
      <c r="M44" s="19"/>
      <c r="N44" s="19"/>
      <c r="O44" s="19"/>
      <c r="P44" s="76"/>
      <c r="Q44" s="76"/>
      <c r="R44" s="76"/>
      <c r="S44" s="76"/>
      <c r="U44" s="73"/>
    </row>
    <row r="45" spans="2:22" s="14" customFormat="1" ht="15.6">
      <c r="B45" s="149" t="s">
        <v>813</v>
      </c>
      <c r="C45" s="163"/>
      <c r="D45" s="163"/>
      <c r="E45" s="527"/>
      <c r="F45" s="164"/>
      <c r="G45" s="165"/>
      <c r="H45" s="164"/>
      <c r="I45" s="164"/>
      <c r="J45" s="314"/>
      <c r="K45" s="314"/>
      <c r="L45" s="314"/>
      <c r="M45" s="166"/>
      <c r="N45" s="167"/>
      <c r="O45" s="156"/>
      <c r="P45" s="314"/>
      <c r="Q45" s="314"/>
      <c r="R45" s="314"/>
      <c r="S45" s="157">
        <f>SUM(S46:S50)</f>
        <v>0</v>
      </c>
      <c r="U45" s="73"/>
    </row>
    <row r="46" spans="2:22" s="14" customFormat="1">
      <c r="B46" s="16" t="s">
        <v>611</v>
      </c>
      <c r="C46" s="188" t="s">
        <v>851</v>
      </c>
      <c r="D46" s="183" t="s">
        <v>582</v>
      </c>
      <c r="E46" s="35"/>
      <c r="F46" s="24"/>
      <c r="G46" s="21"/>
      <c r="H46" s="21"/>
      <c r="I46" s="21"/>
      <c r="J46" s="313"/>
      <c r="K46" s="313"/>
      <c r="L46" s="247">
        <f>IF($D46="MWh/yr (LHV)",$E46,$J46*$E46/Conversion_kWh_to_MJ)</f>
        <v>0</v>
      </c>
      <c r="M46" s="12"/>
      <c r="N46" s="12"/>
      <c r="O46" s="12"/>
      <c r="P46" s="35">
        <v>0</v>
      </c>
      <c r="Q46" s="546"/>
      <c r="R46" s="35" t="s">
        <v>801</v>
      </c>
      <c r="S46" s="247" t="str">
        <f>IFERROR(IF(D46="tonnes/yr", $P46*$E46/($L$9*3.6), $Q46*$E46*3.6/($L$9*3.6)), "Unfilled fields to left")</f>
        <v>Unfilled fields to left</v>
      </c>
      <c r="U46" s="21"/>
    </row>
    <row r="47" spans="2:22" s="14" customFormat="1">
      <c r="B47" s="16" t="s">
        <v>611</v>
      </c>
      <c r="C47" s="188" t="s">
        <v>837</v>
      </c>
      <c r="D47" s="183" t="s">
        <v>582</v>
      </c>
      <c r="E47" s="35"/>
      <c r="F47" s="66"/>
      <c r="G47" s="66"/>
      <c r="H47" s="66"/>
      <c r="I47" s="66"/>
      <c r="J47" s="311"/>
      <c r="K47" s="313"/>
      <c r="L47" s="247">
        <f>IF($D47="MWh/yr (LHV)",$E47,$J47*$E47/Conversion_kWh_to_MJ)</f>
        <v>0</v>
      </c>
      <c r="M47" s="12"/>
      <c r="N47" s="12"/>
      <c r="O47" s="12"/>
      <c r="P47" s="35">
        <v>1000</v>
      </c>
      <c r="Q47" s="546"/>
      <c r="R47" s="35" t="s">
        <v>814</v>
      </c>
      <c r="S47" s="247" t="str">
        <f>IFERROR(IF(D47="tonnes/yr", $P47*$E47/($L$9*3.6), $Q47*$E47*3.6/($L$9*3.6)), "Unfilled fields to left")</f>
        <v>Unfilled fields to left</v>
      </c>
      <c r="U47" s="21"/>
    </row>
    <row r="48" spans="2:22" s="14" customFormat="1">
      <c r="B48" s="67"/>
      <c r="C48" s="15"/>
      <c r="D48" s="183"/>
      <c r="E48" s="35"/>
      <c r="F48" s="21"/>
      <c r="G48" s="21"/>
      <c r="H48" s="66"/>
      <c r="I48" s="66"/>
      <c r="J48" s="311"/>
      <c r="K48" s="313"/>
      <c r="L48" s="247">
        <f>IF($D48="MWh/yr (LHV)",$E48,$J48*$E48/Conversion_kWh_to_MJ)</f>
        <v>0</v>
      </c>
      <c r="M48" s="19"/>
      <c r="N48" s="19"/>
      <c r="O48" s="19"/>
      <c r="P48" s="315"/>
      <c r="Q48" s="505"/>
      <c r="R48" s="309"/>
      <c r="S48" s="247" t="str">
        <f>IFERROR(IF(D48="tonnes/yr", $P48*$E48/($L$9*3.6), $Q48*$E48*3.6/($L$9*3.6)), "Unfilled fields to left")</f>
        <v>Unfilled fields to left</v>
      </c>
      <c r="U48" s="68"/>
    </row>
    <row r="49" spans="2:22" s="14" customFormat="1">
      <c r="B49" s="67"/>
      <c r="C49" s="15"/>
      <c r="D49" s="183"/>
      <c r="E49" s="35"/>
      <c r="F49" s="21"/>
      <c r="G49" s="21"/>
      <c r="H49" s="21"/>
      <c r="I49" s="21"/>
      <c r="J49" s="313"/>
      <c r="K49" s="313"/>
      <c r="L49" s="247">
        <f>IF($D49="MWh/yr (LHV)",$E49,$J49*$E49/Conversion_kWh_to_MJ)</f>
        <v>0</v>
      </c>
      <c r="M49" s="19"/>
      <c r="N49" s="19"/>
      <c r="O49" s="19"/>
      <c r="P49" s="315"/>
      <c r="Q49" s="505"/>
      <c r="R49" s="309"/>
      <c r="S49" s="247" t="str">
        <f>IFERROR(IF(D49="tonnes/yr", $P49*$E49/($L$9*3.6), $Q49*$E49*3.6/($L$9*3.6)), "Unfilled fields to left")</f>
        <v>Unfilled fields to left</v>
      </c>
      <c r="U49" s="68"/>
    </row>
    <row r="50" spans="2:22" s="14" customFormat="1">
      <c r="B50" s="67"/>
      <c r="C50" s="15"/>
      <c r="D50" s="183"/>
      <c r="E50" s="35"/>
      <c r="F50" s="21"/>
      <c r="G50" s="21"/>
      <c r="H50" s="21"/>
      <c r="I50" s="21"/>
      <c r="J50" s="313"/>
      <c r="K50" s="313"/>
      <c r="L50" s="247">
        <f>IF($D50="MWh/yr (LHV)",$E50,$J50*$E50/Conversion_kWh_to_MJ)</f>
        <v>0</v>
      </c>
      <c r="M50" s="19"/>
      <c r="N50" s="19"/>
      <c r="O50" s="19"/>
      <c r="P50" s="315"/>
      <c r="Q50" s="505"/>
      <c r="R50" s="309"/>
      <c r="S50" s="247" t="str">
        <f>IFERROR(IF(D50="tonnes/yr", $P50*$E50/($L$9*3.6), $Q50*$E50*3.6/($L$9*3.6)), "Unfilled fields to left")</f>
        <v>Unfilled fields to left</v>
      </c>
      <c r="U50" s="68"/>
    </row>
    <row r="51" spans="2:22" s="14" customFormat="1">
      <c r="B51" s="71"/>
      <c r="C51" s="72"/>
      <c r="D51" s="72"/>
      <c r="E51" s="532"/>
      <c r="F51" s="73"/>
      <c r="G51" s="73"/>
      <c r="H51" s="73"/>
      <c r="I51" s="73"/>
      <c r="J51" s="146"/>
      <c r="K51" s="146"/>
      <c r="L51" s="76"/>
      <c r="M51" s="19"/>
      <c r="N51" s="19"/>
      <c r="O51" s="19"/>
      <c r="P51" s="76"/>
      <c r="Q51" s="76"/>
      <c r="R51" s="76"/>
      <c r="S51" s="76"/>
      <c r="U51" s="73"/>
    </row>
    <row r="52" spans="2:22" s="14" customFormat="1" ht="15.6">
      <c r="B52" s="149" t="s">
        <v>612</v>
      </c>
      <c r="C52" s="163"/>
      <c r="D52" s="163"/>
      <c r="E52" s="527"/>
      <c r="F52" s="164"/>
      <c r="G52" s="165"/>
      <c r="H52" s="164"/>
      <c r="I52" s="164"/>
      <c r="J52" s="314"/>
      <c r="K52" s="314"/>
      <c r="L52" s="314"/>
      <c r="M52" s="166"/>
      <c r="N52" s="167"/>
      <c r="O52" s="156"/>
      <c r="P52" s="314"/>
      <c r="Q52" s="314"/>
      <c r="R52" s="314"/>
      <c r="S52" s="157">
        <f>SUM(S53:S58)</f>
        <v>0</v>
      </c>
      <c r="U52" s="73"/>
    </row>
    <row r="53" spans="2:22">
      <c r="B53" s="190" t="s">
        <v>592</v>
      </c>
      <c r="C53" s="188" t="s">
        <v>613</v>
      </c>
      <c r="D53" s="183" t="s">
        <v>747</v>
      </c>
      <c r="E53" s="35"/>
      <c r="F53" s="24"/>
      <c r="G53" s="21"/>
      <c r="H53" s="20"/>
      <c r="I53" s="36"/>
      <c r="J53" s="310"/>
      <c r="K53" s="309"/>
      <c r="L53" s="247">
        <f t="shared" ref="L53:L58" si="7">IF($D53="MWh/yr (LHV)",$E53,$J53*$E53/Conversion_kWh_to_MJ)</f>
        <v>0</v>
      </c>
      <c r="M53" s="12"/>
      <c r="P53" s="35" t="str">
        <f t="shared" ref="P53:P58" si="8">IF(B53="", "", IF(D53="MWh/yr (LHV)", "Use column to right", "Enter data here"))</f>
        <v>Use column to right</v>
      </c>
      <c r="Q53" s="35" t="e">
        <f>IF(B53="", "", IF(D53="MWh/yr (LHV)", Initial_questions!$E$41*1000/Conversion_kWh_to_MJ, "Use column to left"))</f>
        <v>#VALUE!</v>
      </c>
      <c r="R53" s="35" t="s">
        <v>799</v>
      </c>
      <c r="S53" s="248" t="str">
        <f t="shared" ref="S53:S58" si="9">IFERROR(IF(D53="tonnes/yr", $P53*$E53/($L$9*3.6), $Q53*$E53*3.6/($L$9*3.6)), "Unfilled fields to left")</f>
        <v>Unfilled fields to left</v>
      </c>
      <c r="U53" s="25"/>
      <c r="V53" s="12"/>
    </row>
    <row r="54" spans="2:22">
      <c r="B54" s="190" t="s">
        <v>592</v>
      </c>
      <c r="C54" s="188" t="s">
        <v>614</v>
      </c>
      <c r="D54" s="183" t="s">
        <v>747</v>
      </c>
      <c r="E54" s="35"/>
      <c r="F54" s="24"/>
      <c r="G54" s="21"/>
      <c r="H54" s="20"/>
      <c r="I54" s="36"/>
      <c r="J54" s="307"/>
      <c r="K54" s="309"/>
      <c r="L54" s="247">
        <f t="shared" si="7"/>
        <v>0</v>
      </c>
      <c r="M54" s="58"/>
      <c r="P54" s="35" t="str">
        <f t="shared" si="8"/>
        <v>Use column to right</v>
      </c>
      <c r="Q54" s="35" t="e">
        <f>INDEX(Assumptions!$F$5:$AJ$5,1,MATCH(Initial_questions!$E$24,Assumptions!$F$4:$AJ$4,0))*1000/Conversion_kWh_to_MJ</f>
        <v>#N/A</v>
      </c>
      <c r="R54" s="35" t="s">
        <v>896</v>
      </c>
      <c r="S54" s="367" t="str">
        <f t="shared" si="9"/>
        <v>Unfilled fields to left</v>
      </c>
      <c r="U54" s="25"/>
      <c r="V54" s="12"/>
    </row>
    <row r="55" spans="2:22">
      <c r="B55" s="190" t="s">
        <v>592</v>
      </c>
      <c r="C55" s="188" t="s">
        <v>879</v>
      </c>
      <c r="D55" s="183" t="s">
        <v>582</v>
      </c>
      <c r="E55" s="35"/>
      <c r="F55" s="24"/>
      <c r="G55" s="21"/>
      <c r="H55" s="20"/>
      <c r="I55" s="36"/>
      <c r="J55" s="307"/>
      <c r="K55" s="309"/>
      <c r="L55" s="247">
        <f t="shared" si="7"/>
        <v>0</v>
      </c>
      <c r="M55" s="58"/>
      <c r="P55" s="35" t="str">
        <f t="shared" si="8"/>
        <v>Enter data here</v>
      </c>
      <c r="Q55" s="35" t="str">
        <f t="shared" ref="Q55:Q56" si="10">IF(B55="", "", IF(D55="MWh/yr (LHV)", "Enter data here", "Use column to left"))</f>
        <v>Use column to left</v>
      </c>
      <c r="R55" s="35" t="s">
        <v>871</v>
      </c>
      <c r="S55" s="367" t="str">
        <f t="shared" si="9"/>
        <v>Unfilled fields to left</v>
      </c>
      <c r="U55" s="25"/>
      <c r="V55" s="12"/>
    </row>
    <row r="56" spans="2:22" s="14" customFormat="1">
      <c r="B56" s="190" t="s">
        <v>592</v>
      </c>
      <c r="C56" s="188" t="s">
        <v>615</v>
      </c>
      <c r="D56" s="183" t="s">
        <v>582</v>
      </c>
      <c r="E56" s="35"/>
      <c r="F56" s="24"/>
      <c r="G56" s="21"/>
      <c r="H56" s="21"/>
      <c r="I56" s="21"/>
      <c r="J56" s="313"/>
      <c r="K56" s="313"/>
      <c r="L56" s="247">
        <f t="shared" si="7"/>
        <v>0</v>
      </c>
      <c r="M56" s="12"/>
      <c r="N56" s="12"/>
      <c r="O56" s="12"/>
      <c r="P56" s="35" t="str">
        <f t="shared" si="8"/>
        <v>Enter data here</v>
      </c>
      <c r="Q56" s="35" t="str">
        <f t="shared" si="10"/>
        <v>Use column to left</v>
      </c>
      <c r="R56" s="35" t="s">
        <v>871</v>
      </c>
      <c r="S56" s="367" t="str">
        <f t="shared" si="9"/>
        <v>Unfilled fields to left</v>
      </c>
      <c r="U56" s="21"/>
    </row>
    <row r="57" spans="2:22" s="14" customFormat="1">
      <c r="B57" s="190" t="s">
        <v>592</v>
      </c>
      <c r="C57" s="188" t="s">
        <v>616</v>
      </c>
      <c r="D57" s="183" t="s">
        <v>747</v>
      </c>
      <c r="E57" s="35"/>
      <c r="F57" s="24"/>
      <c r="G57" s="21"/>
      <c r="H57" s="21"/>
      <c r="I57" s="21"/>
      <c r="J57" s="313"/>
      <c r="K57" s="313"/>
      <c r="L57" s="247">
        <f t="shared" si="7"/>
        <v>0</v>
      </c>
      <c r="M57" s="12"/>
      <c r="N57" s="12"/>
      <c r="O57" s="12"/>
      <c r="P57" s="35" t="str">
        <f t="shared" si="8"/>
        <v>Use column to right</v>
      </c>
      <c r="Q57" s="35" t="e">
        <f>INDEX(Assumptions!$F$5:$AJ$5,1,MATCH(Initial_questions!$E$24,Assumptions!$F$4:$AJ$4,0))*1000/Conversion_kWh_to_MJ</f>
        <v>#N/A</v>
      </c>
      <c r="R57" s="35" t="s">
        <v>896</v>
      </c>
      <c r="S57" s="367" t="str">
        <f t="shared" si="9"/>
        <v>Unfilled fields to left</v>
      </c>
      <c r="U57" s="21"/>
    </row>
    <row r="58" spans="2:22" s="14" customFormat="1">
      <c r="B58" s="16"/>
      <c r="C58" s="15"/>
      <c r="D58" s="183"/>
      <c r="E58" s="35"/>
      <c r="F58" s="24"/>
      <c r="G58" s="21"/>
      <c r="H58" s="21"/>
      <c r="I58" s="21"/>
      <c r="J58" s="313"/>
      <c r="K58" s="313"/>
      <c r="L58" s="247">
        <f t="shared" si="7"/>
        <v>0</v>
      </c>
      <c r="M58" s="12"/>
      <c r="N58" s="12"/>
      <c r="O58" s="12"/>
      <c r="P58" s="35" t="str">
        <f t="shared" si="8"/>
        <v/>
      </c>
      <c r="Q58" s="35" t="str">
        <f t="shared" ref="Q58" si="11">IF(B58="", "", IF(D58="MWh/yr (LHV)", "Enter data here", "Use column to left"))</f>
        <v/>
      </c>
      <c r="R58" s="35"/>
      <c r="S58" s="367" t="str">
        <f t="shared" si="9"/>
        <v>Unfilled fields to left</v>
      </c>
      <c r="U58" s="21"/>
    </row>
    <row r="59" spans="2:22" s="14" customFormat="1">
      <c r="B59" s="71"/>
      <c r="C59" s="72"/>
      <c r="D59" s="72"/>
      <c r="E59" s="146"/>
      <c r="F59" s="73"/>
      <c r="G59" s="73"/>
      <c r="H59" s="74"/>
      <c r="I59" s="74"/>
      <c r="J59" s="76"/>
      <c r="K59" s="76"/>
      <c r="L59" s="76"/>
      <c r="M59" s="12"/>
      <c r="N59" s="12"/>
      <c r="O59" s="12"/>
      <c r="P59" s="76"/>
      <c r="Q59" s="76"/>
      <c r="R59" s="76"/>
      <c r="S59" s="76"/>
      <c r="U59" s="73"/>
    </row>
    <row r="60" spans="2:22" s="14" customFormat="1" ht="15.6">
      <c r="B60" s="149" t="s">
        <v>617</v>
      </c>
      <c r="C60" s="163"/>
      <c r="D60" s="163"/>
      <c r="E60" s="527"/>
      <c r="F60" s="164"/>
      <c r="G60" s="165"/>
      <c r="H60" s="164"/>
      <c r="I60" s="164"/>
      <c r="J60" s="314"/>
      <c r="K60" s="314"/>
      <c r="L60" s="314"/>
      <c r="M60" s="166"/>
      <c r="N60" s="167"/>
      <c r="O60" s="156"/>
      <c r="P60" s="314"/>
      <c r="Q60" s="314"/>
      <c r="R60" s="314"/>
      <c r="S60" s="157">
        <f>SUM(S61:S65)</f>
        <v>0</v>
      </c>
      <c r="U60" s="73"/>
    </row>
    <row r="61" spans="2:22" s="14" customFormat="1">
      <c r="B61" s="190" t="s">
        <v>811</v>
      </c>
      <c r="C61" s="188" t="s">
        <v>759</v>
      </c>
      <c r="D61" s="183" t="s">
        <v>582</v>
      </c>
      <c r="E61" s="35">
        <f>E46*$E$80*(1-$E$81)</f>
        <v>0</v>
      </c>
      <c r="F61" s="66"/>
      <c r="G61" s="66"/>
      <c r="H61" s="66"/>
      <c r="I61" s="66"/>
      <c r="J61" s="311"/>
      <c r="K61" s="313"/>
      <c r="L61" s="247">
        <f>IF($D61="MWh/yr (LHV)",$E61,$J61*$E61/Conversion_kWh_to_MJ)</f>
        <v>0</v>
      </c>
      <c r="M61" s="12"/>
      <c r="N61" s="12"/>
      <c r="O61" s="12"/>
      <c r="P61" s="310">
        <v>-1000</v>
      </c>
      <c r="Q61" s="505"/>
      <c r="R61" s="35" t="s">
        <v>802</v>
      </c>
      <c r="S61" s="247" t="str">
        <f>IFERROR(IF(D61="tonnes/yr", $P61*$E61/($L$9*3.6), $Q61*$E61*3.6/($L$9*3.6)), "Unfilled fields to left")</f>
        <v>Unfilled fields to left</v>
      </c>
      <c r="U61" s="21"/>
    </row>
    <row r="62" spans="2:22" s="14" customFormat="1">
      <c r="B62" s="191" t="s">
        <v>811</v>
      </c>
      <c r="C62" s="188" t="s">
        <v>819</v>
      </c>
      <c r="D62" s="183" t="s">
        <v>582</v>
      </c>
      <c r="E62" s="35">
        <f>E47*$E$80*(1-$E$81)</f>
        <v>0</v>
      </c>
      <c r="F62" s="21"/>
      <c r="G62" s="21"/>
      <c r="H62" s="66"/>
      <c r="I62" s="66"/>
      <c r="J62" s="311"/>
      <c r="K62" s="313"/>
      <c r="L62" s="247">
        <f>IF($D62="MWh/yr (LHV)",$E62,$J62*$E62/Conversion_kWh_to_MJ)</f>
        <v>0</v>
      </c>
      <c r="M62" s="19"/>
      <c r="N62" s="19"/>
      <c r="O62" s="17"/>
      <c r="P62" s="307">
        <v>-1000</v>
      </c>
      <c r="Q62" s="505"/>
      <c r="R62" s="35" t="s">
        <v>828</v>
      </c>
      <c r="S62" s="247" t="str">
        <f>IFERROR(IF(D62="tonnes/yr", $P62*$E62/($L$9*3.6), $Q62*$E62*3.6/($L$9*3.6)), "Unfilled fields to left")</f>
        <v>Unfilled fields to left</v>
      </c>
      <c r="U62" s="68"/>
    </row>
    <row r="63" spans="2:22" s="14" customFormat="1">
      <c r="B63" s="67"/>
      <c r="C63" s="15"/>
      <c r="D63" s="183"/>
      <c r="E63" s="35"/>
      <c r="F63" s="21"/>
      <c r="G63" s="21"/>
      <c r="H63" s="21"/>
      <c r="I63" s="21"/>
      <c r="J63" s="313"/>
      <c r="K63" s="313"/>
      <c r="L63" s="247">
        <f>IF($D63="MWh/yr (LHV)",$E63,$J63*$E63/Conversion_kWh_to_MJ)</f>
        <v>0</v>
      </c>
      <c r="M63" s="19"/>
      <c r="N63" s="19"/>
      <c r="O63" s="19"/>
      <c r="P63" s="315"/>
      <c r="Q63" s="505"/>
      <c r="R63" s="309"/>
      <c r="S63" s="247" t="str">
        <f>IFERROR(IF(D63="tonnes/yr", $P63*$E63/($L$9*3.6), $Q63*$E63*3.6/($L$9*3.6)), "Unfilled fields to left")</f>
        <v>Unfilled fields to left</v>
      </c>
      <c r="U63" s="68"/>
    </row>
    <row r="64" spans="2:22" s="14" customFormat="1">
      <c r="B64" s="67"/>
      <c r="C64" s="15"/>
      <c r="D64" s="183"/>
      <c r="E64" s="35"/>
      <c r="F64" s="21"/>
      <c r="G64" s="21"/>
      <c r="H64" s="21"/>
      <c r="I64" s="21"/>
      <c r="J64" s="313"/>
      <c r="K64" s="313"/>
      <c r="L64" s="247">
        <f>IF($D64="MWh/yr (LHV)",$E64,$J64*$E64/Conversion_kWh_to_MJ)</f>
        <v>0</v>
      </c>
      <c r="M64" s="19"/>
      <c r="N64" s="19"/>
      <c r="O64" s="19"/>
      <c r="P64" s="315"/>
      <c r="Q64" s="505"/>
      <c r="R64" s="309"/>
      <c r="S64" s="247" t="str">
        <f>IFERROR(IF(D64="tonnes/yr", $P64*$E64/($L$9*3.6), $Q64*$E64*3.6/($L$9*3.6)), "Unfilled fields to left")</f>
        <v>Unfilled fields to left</v>
      </c>
      <c r="U64" s="68"/>
    </row>
    <row r="65" spans="2:22" s="14" customFormat="1">
      <c r="B65" s="67"/>
      <c r="C65" s="15"/>
      <c r="D65" s="183"/>
      <c r="E65" s="35"/>
      <c r="F65" s="21"/>
      <c r="G65" s="21"/>
      <c r="H65" s="21"/>
      <c r="I65" s="21"/>
      <c r="J65" s="313"/>
      <c r="K65" s="313"/>
      <c r="L65" s="247">
        <f>IF($D65="MWh/yr (LHV)",$E65,$J65*$E65/Conversion_kWh_to_MJ)</f>
        <v>0</v>
      </c>
      <c r="M65" s="19"/>
      <c r="N65" s="19"/>
      <c r="O65" s="19"/>
      <c r="P65" s="315"/>
      <c r="Q65" s="505"/>
      <c r="R65" s="309"/>
      <c r="S65" s="247" t="str">
        <f>IFERROR(IF(D65="tonnes/yr", $P65*$E65/($L$9*3.6), $Q65*$E65*3.6/($L$9*3.6)), "Unfilled fields to left")</f>
        <v>Unfilled fields to left</v>
      </c>
      <c r="U65" s="68"/>
    </row>
    <row r="66" spans="2:22" s="14" customFormat="1">
      <c r="B66" s="71"/>
      <c r="C66" s="72"/>
      <c r="D66" s="72"/>
      <c r="E66" s="146"/>
      <c r="F66" s="73"/>
      <c r="G66" s="73"/>
      <c r="H66" s="74"/>
      <c r="I66" s="74"/>
      <c r="J66" s="76"/>
      <c r="K66" s="76"/>
      <c r="L66" s="76"/>
      <c r="M66" s="12"/>
      <c r="N66" s="12"/>
      <c r="O66" s="12"/>
      <c r="P66" s="76"/>
      <c r="Q66" s="76"/>
      <c r="R66" s="76"/>
      <c r="S66" s="76"/>
      <c r="U66" s="73"/>
    </row>
    <row r="67" spans="2:22" s="14" customFormat="1" ht="15.6">
      <c r="B67" s="149" t="s">
        <v>93</v>
      </c>
      <c r="C67" s="163"/>
      <c r="D67" s="163"/>
      <c r="E67" s="527"/>
      <c r="F67" s="164"/>
      <c r="G67" s="165"/>
      <c r="H67" s="164"/>
      <c r="I67" s="164"/>
      <c r="J67" s="314"/>
      <c r="K67" s="314"/>
      <c r="L67" s="314"/>
      <c r="M67" s="166"/>
      <c r="N67" s="167"/>
      <c r="O67" s="156"/>
      <c r="P67" s="314"/>
      <c r="Q67" s="314"/>
      <c r="R67" s="314"/>
      <c r="S67" s="157">
        <f>SUM(S68:S75)</f>
        <v>0</v>
      </c>
      <c r="U67" s="73"/>
    </row>
    <row r="68" spans="2:22" s="14" customFormat="1">
      <c r="B68" s="190" t="s">
        <v>618</v>
      </c>
      <c r="C68" s="188" t="s">
        <v>823</v>
      </c>
      <c r="D68" s="183" t="s">
        <v>582</v>
      </c>
      <c r="E68" s="35"/>
      <c r="F68" s="21"/>
      <c r="G68" s="21"/>
      <c r="H68" s="21"/>
      <c r="I68" s="21"/>
      <c r="J68" s="313"/>
      <c r="K68" s="313"/>
      <c r="L68" s="247">
        <f t="shared" ref="L68:L75" si="12">IF($D68="MWh/yr (LHV)",$E68,$J68*$E68/Conversion_kWh_to_MJ)</f>
        <v>0</v>
      </c>
      <c r="M68" s="12"/>
      <c r="N68" s="12"/>
      <c r="O68" s="12"/>
      <c r="P68" s="35">
        <v>28000</v>
      </c>
      <c r="Q68" s="546"/>
      <c r="R68" s="35" t="s">
        <v>651</v>
      </c>
      <c r="S68" s="247" t="str">
        <f t="shared" ref="S68:S75" si="13">IFERROR(IF(D68="tonnes/yr", $P68*$E68/($L$9*3.6), $Q68*$E68*3.6/($L$9*3.6)), "Unfilled fields to left")</f>
        <v>Unfilled fields to left</v>
      </c>
      <c r="U68" s="21"/>
    </row>
    <row r="69" spans="2:22" s="14" customFormat="1">
      <c r="B69" s="191" t="s">
        <v>619</v>
      </c>
      <c r="C69" s="188" t="s">
        <v>824</v>
      </c>
      <c r="D69" s="183" t="s">
        <v>582</v>
      </c>
      <c r="E69" s="35"/>
      <c r="F69" s="68"/>
      <c r="G69" s="68"/>
      <c r="H69" s="69"/>
      <c r="I69" s="69"/>
      <c r="J69" s="315"/>
      <c r="K69" s="315"/>
      <c r="L69" s="247">
        <f t="shared" si="12"/>
        <v>0</v>
      </c>
      <c r="M69" s="19"/>
      <c r="N69" s="19"/>
      <c r="O69" s="19"/>
      <c r="P69" s="35">
        <v>265000</v>
      </c>
      <c r="Q69" s="546"/>
      <c r="R69" s="511" t="s">
        <v>651</v>
      </c>
      <c r="S69" s="247" t="str">
        <f t="shared" si="13"/>
        <v>Unfilled fields to left</v>
      </c>
      <c r="U69" s="68"/>
    </row>
    <row r="70" spans="2:22" s="14" customFormat="1">
      <c r="B70" s="191" t="s">
        <v>620</v>
      </c>
      <c r="C70" s="188" t="s">
        <v>825</v>
      </c>
      <c r="D70" s="183" t="s">
        <v>582</v>
      </c>
      <c r="E70" s="35"/>
      <c r="F70" s="68"/>
      <c r="G70" s="68"/>
      <c r="H70" s="69"/>
      <c r="I70" s="69"/>
      <c r="J70" s="315"/>
      <c r="K70" s="315"/>
      <c r="L70" s="247">
        <f t="shared" si="12"/>
        <v>0</v>
      </c>
      <c r="M70" s="19"/>
      <c r="N70" s="19"/>
      <c r="O70" s="19"/>
      <c r="P70" s="35">
        <v>23500000</v>
      </c>
      <c r="Q70" s="546"/>
      <c r="R70" s="511" t="s">
        <v>651</v>
      </c>
      <c r="S70" s="247" t="str">
        <f t="shared" si="13"/>
        <v>Unfilled fields to left</v>
      </c>
      <c r="U70" s="68"/>
    </row>
    <row r="71" spans="2:22" s="14" customFormat="1">
      <c r="B71" s="191" t="s">
        <v>621</v>
      </c>
      <c r="C71" s="188" t="s">
        <v>826</v>
      </c>
      <c r="D71" s="183" t="s">
        <v>582</v>
      </c>
      <c r="E71" s="35"/>
      <c r="F71" s="68"/>
      <c r="G71" s="68"/>
      <c r="H71" s="69"/>
      <c r="I71" s="69"/>
      <c r="J71" s="315"/>
      <c r="K71" s="315"/>
      <c r="L71" s="247">
        <f t="shared" si="12"/>
        <v>0</v>
      </c>
      <c r="M71" s="19"/>
      <c r="N71" s="19"/>
      <c r="O71" s="19"/>
      <c r="P71" s="547" t="s">
        <v>622</v>
      </c>
      <c r="Q71" s="546"/>
      <c r="R71" s="511"/>
      <c r="S71" s="247" t="str">
        <f t="shared" si="13"/>
        <v>Unfilled fields to left</v>
      </c>
      <c r="U71" s="68"/>
    </row>
    <row r="72" spans="2:22" s="14" customFormat="1">
      <c r="B72" s="191" t="s">
        <v>621</v>
      </c>
      <c r="C72" s="188" t="s">
        <v>826</v>
      </c>
      <c r="D72" s="183" t="s">
        <v>582</v>
      </c>
      <c r="E72" s="35"/>
      <c r="F72" s="68"/>
      <c r="G72" s="68"/>
      <c r="H72" s="69"/>
      <c r="I72" s="69"/>
      <c r="J72" s="315"/>
      <c r="K72" s="315"/>
      <c r="L72" s="247">
        <f t="shared" si="12"/>
        <v>0</v>
      </c>
      <c r="M72" s="19"/>
      <c r="N72" s="19"/>
      <c r="O72" s="19"/>
      <c r="P72" s="547" t="s">
        <v>622</v>
      </c>
      <c r="Q72" s="546"/>
      <c r="R72" s="511"/>
      <c r="S72" s="247" t="str">
        <f t="shared" si="13"/>
        <v>Unfilled fields to left</v>
      </c>
      <c r="U72" s="68"/>
    </row>
    <row r="73" spans="2:22" s="14" customFormat="1">
      <c r="B73" s="191" t="s">
        <v>621</v>
      </c>
      <c r="C73" s="188" t="s">
        <v>826</v>
      </c>
      <c r="D73" s="183" t="s">
        <v>582</v>
      </c>
      <c r="E73" s="35"/>
      <c r="F73" s="68"/>
      <c r="G73" s="68"/>
      <c r="H73" s="69"/>
      <c r="I73" s="69"/>
      <c r="J73" s="315"/>
      <c r="K73" s="315"/>
      <c r="L73" s="247">
        <f t="shared" si="12"/>
        <v>0</v>
      </c>
      <c r="M73" s="19"/>
      <c r="N73" s="19"/>
      <c r="O73" s="19"/>
      <c r="P73" s="547" t="s">
        <v>622</v>
      </c>
      <c r="Q73" s="546"/>
      <c r="R73" s="511"/>
      <c r="S73" s="247" t="str">
        <f t="shared" si="13"/>
        <v>Unfilled fields to left</v>
      </c>
      <c r="U73" s="68"/>
    </row>
    <row r="74" spans="2:22" s="14" customFormat="1">
      <c r="B74" s="67"/>
      <c r="C74" s="15"/>
      <c r="D74" s="184"/>
      <c r="E74" s="528"/>
      <c r="F74" s="68"/>
      <c r="G74" s="68"/>
      <c r="H74" s="69"/>
      <c r="I74" s="69"/>
      <c r="J74" s="315"/>
      <c r="K74" s="315"/>
      <c r="L74" s="247">
        <f t="shared" si="12"/>
        <v>0</v>
      </c>
      <c r="M74" s="19"/>
      <c r="N74" s="19"/>
      <c r="O74" s="19"/>
      <c r="P74" s="309"/>
      <c r="Q74" s="505"/>
      <c r="R74" s="315"/>
      <c r="S74" s="247" t="str">
        <f t="shared" si="13"/>
        <v>Unfilled fields to left</v>
      </c>
      <c r="U74" s="68"/>
    </row>
    <row r="75" spans="2:22" s="14" customFormat="1">
      <c r="B75" s="67"/>
      <c r="C75" s="15"/>
      <c r="D75" s="184"/>
      <c r="E75" s="528"/>
      <c r="F75" s="68"/>
      <c r="G75" s="68"/>
      <c r="H75" s="69"/>
      <c r="I75" s="69"/>
      <c r="J75" s="315"/>
      <c r="K75" s="315"/>
      <c r="L75" s="247">
        <f t="shared" si="12"/>
        <v>0</v>
      </c>
      <c r="M75" s="19"/>
      <c r="N75" s="19"/>
      <c r="O75" s="19"/>
      <c r="P75" s="309"/>
      <c r="Q75" s="505"/>
      <c r="R75" s="315"/>
      <c r="S75" s="247" t="str">
        <f t="shared" si="13"/>
        <v>Unfilled fields to left</v>
      </c>
      <c r="U75" s="68"/>
    </row>
    <row r="76" spans="2:22">
      <c r="C76" s="17"/>
      <c r="D76" s="17"/>
      <c r="E76" s="144"/>
      <c r="F76" s="17"/>
      <c r="H76" s="18"/>
      <c r="I76" s="18"/>
      <c r="J76" s="40"/>
      <c r="K76" s="40"/>
      <c r="L76" s="40"/>
      <c r="M76" s="12"/>
      <c r="P76" s="40"/>
      <c r="Q76" s="40"/>
      <c r="R76" s="40"/>
      <c r="S76" s="40"/>
      <c r="V76" s="12"/>
    </row>
    <row r="77" spans="2:22">
      <c r="E77" s="117"/>
      <c r="I77" s="12"/>
      <c r="J77" s="110"/>
      <c r="K77" s="110"/>
      <c r="L77" s="110"/>
      <c r="M77" s="12"/>
      <c r="P77" s="39"/>
      <c r="Q77" s="39"/>
      <c r="R77" s="38" t="s">
        <v>641</v>
      </c>
      <c r="S77" s="157">
        <f>IF(OR(COUNTIF(Initial_questions!$E$95,"Default"), COUNTIF(Initial_questions!$E$97:$E$98,"Default")),"Default data selected",SUM(S20,S33,S45,S52,S60,S67))</f>
        <v>0</v>
      </c>
      <c r="V77" s="12"/>
    </row>
    <row r="78" spans="2:22">
      <c r="B78" s="149" t="s">
        <v>94</v>
      </c>
      <c r="C78" s="163"/>
      <c r="D78" s="163"/>
      <c r="E78" s="527"/>
      <c r="I78" s="12"/>
      <c r="J78" s="110"/>
      <c r="K78" s="110"/>
      <c r="L78" s="110"/>
      <c r="M78" s="12"/>
      <c r="P78" s="110"/>
      <c r="Q78" s="110"/>
      <c r="R78" s="110"/>
      <c r="S78" s="12"/>
      <c r="V78" s="12"/>
    </row>
    <row r="79" spans="2:22">
      <c r="B79" s="16" t="s">
        <v>626</v>
      </c>
      <c r="C79" s="15" t="s">
        <v>627</v>
      </c>
      <c r="D79" s="15" t="s">
        <v>628</v>
      </c>
      <c r="E79" s="529"/>
      <c r="G79" s="19"/>
      <c r="H79" s="12"/>
      <c r="I79" s="12"/>
      <c r="J79" s="110"/>
      <c r="K79" s="110"/>
      <c r="L79" s="110"/>
      <c r="M79" s="12"/>
      <c r="P79" s="110"/>
      <c r="Q79" s="110"/>
      <c r="R79" s="110"/>
      <c r="S79" s="12"/>
      <c r="U79" s="25"/>
      <c r="V79" s="12"/>
    </row>
    <row r="80" spans="2:22">
      <c r="B80" s="16" t="s">
        <v>642</v>
      </c>
      <c r="C80" s="15" t="s">
        <v>652</v>
      </c>
      <c r="D80" s="15" t="s">
        <v>497</v>
      </c>
      <c r="E80" s="539">
        <f>Initial_questions!$E$85</f>
        <v>0</v>
      </c>
      <c r="I80" s="12"/>
      <c r="J80" s="110"/>
      <c r="K80" s="110"/>
      <c r="L80" s="110"/>
      <c r="M80" s="12"/>
      <c r="P80" s="110"/>
      <c r="Q80" s="110"/>
      <c r="R80" s="110"/>
      <c r="S80" s="12"/>
      <c r="U80" s="25"/>
      <c r="V80" s="12"/>
    </row>
    <row r="81" spans="2:22">
      <c r="B81" s="16" t="s">
        <v>654</v>
      </c>
      <c r="C81" s="15" t="s">
        <v>655</v>
      </c>
      <c r="D81" s="15" t="s">
        <v>497</v>
      </c>
      <c r="E81" s="539"/>
      <c r="I81" s="12"/>
      <c r="J81" s="110"/>
      <c r="K81" s="110"/>
      <c r="L81" s="110"/>
      <c r="M81" s="12"/>
      <c r="P81" s="110"/>
      <c r="Q81" s="110"/>
      <c r="R81" s="110"/>
      <c r="S81" s="12"/>
      <c r="U81" s="25"/>
      <c r="V81" s="12"/>
    </row>
    <row r="82" spans="2:22">
      <c r="B82" s="16"/>
      <c r="C82" s="15"/>
      <c r="D82" s="15"/>
      <c r="E82" s="529"/>
      <c r="H82" s="12"/>
      <c r="I82" s="12"/>
      <c r="J82" s="110"/>
      <c r="K82" s="110"/>
      <c r="L82" s="110"/>
      <c r="M82" s="12"/>
      <c r="P82" s="39"/>
      <c r="Q82" s="39"/>
      <c r="R82" s="39"/>
      <c r="U82" s="25"/>
    </row>
    <row r="83" spans="2:22">
      <c r="E83" s="117"/>
      <c r="H83" s="12"/>
      <c r="I83" s="12"/>
      <c r="J83" s="110"/>
      <c r="K83" s="110"/>
      <c r="L83" s="110"/>
      <c r="M83" s="12"/>
      <c r="P83" s="39"/>
      <c r="Q83" s="39"/>
      <c r="R83" s="39"/>
    </row>
    <row r="84" spans="2:22">
      <c r="E84" s="117"/>
      <c r="J84" s="39"/>
      <c r="K84" s="39"/>
      <c r="P84" s="39"/>
      <c r="Q84" s="39"/>
      <c r="R84" s="39"/>
    </row>
    <row r="85" spans="2:22">
      <c r="E85" s="117"/>
      <c r="J85" s="39"/>
      <c r="K85" s="39"/>
      <c r="P85" s="39"/>
      <c r="Q85" s="39"/>
      <c r="R85" s="39"/>
    </row>
    <row r="86" spans="2:22">
      <c r="E86" s="117"/>
      <c r="J86" s="39"/>
      <c r="K86" s="39"/>
      <c r="P86" s="39"/>
      <c r="Q86" s="39"/>
      <c r="R86" s="39"/>
    </row>
    <row r="87" spans="2:22">
      <c r="E87" s="117"/>
      <c r="J87" s="39"/>
      <c r="K87" s="39"/>
      <c r="P87" s="39"/>
      <c r="Q87" s="39"/>
      <c r="R87" s="39"/>
    </row>
    <row r="88" spans="2:22">
      <c r="E88" s="117"/>
      <c r="J88" s="39"/>
      <c r="K88" s="39"/>
      <c r="P88" s="39"/>
      <c r="Q88" s="39"/>
      <c r="R88" s="39"/>
    </row>
    <row r="89" spans="2:22">
      <c r="E89" s="117"/>
      <c r="J89" s="39"/>
      <c r="K89" s="39"/>
      <c r="P89" s="39"/>
      <c r="Q89" s="39"/>
      <c r="R89" s="39"/>
    </row>
    <row r="90" spans="2:22">
      <c r="E90" s="117"/>
      <c r="J90" s="39"/>
      <c r="K90" s="39"/>
      <c r="P90" s="39"/>
      <c r="Q90" s="39"/>
      <c r="R90" s="39"/>
    </row>
    <row r="91" spans="2:22">
      <c r="E91" s="117"/>
      <c r="J91" s="39"/>
      <c r="K91" s="39"/>
      <c r="P91" s="39"/>
      <c r="Q91" s="39"/>
      <c r="R91" s="39"/>
    </row>
    <row r="92" spans="2:22">
      <c r="E92" s="117"/>
      <c r="J92" s="39"/>
      <c r="K92" s="39"/>
      <c r="P92" s="39"/>
      <c r="Q92" s="39"/>
      <c r="R92" s="39"/>
    </row>
    <row r="93" spans="2:22">
      <c r="E93" s="117"/>
      <c r="J93" s="39"/>
      <c r="K93" s="39"/>
      <c r="P93" s="39"/>
      <c r="Q93" s="39"/>
      <c r="R93" s="39"/>
    </row>
    <row r="94" spans="2:22">
      <c r="E94" s="117"/>
      <c r="J94" s="39"/>
      <c r="K94" s="39"/>
      <c r="P94" s="39"/>
      <c r="Q94" s="39"/>
      <c r="R94" s="39"/>
    </row>
    <row r="95" spans="2:22">
      <c r="E95" s="117"/>
      <c r="J95" s="39"/>
      <c r="K95" s="39"/>
      <c r="P95" s="39"/>
      <c r="Q95" s="39"/>
      <c r="R95" s="39"/>
    </row>
    <row r="96" spans="2:22">
      <c r="E96" s="117"/>
      <c r="J96" s="39"/>
      <c r="K96" s="39"/>
      <c r="P96" s="39"/>
      <c r="Q96" s="39"/>
      <c r="R96" s="39"/>
    </row>
    <row r="97" spans="5:18">
      <c r="E97" s="117"/>
      <c r="J97" s="39"/>
      <c r="K97" s="39"/>
      <c r="P97" s="39"/>
      <c r="Q97" s="39"/>
      <c r="R97" s="39"/>
    </row>
    <row r="98" spans="5:18">
      <c r="E98" s="117"/>
      <c r="J98" s="39"/>
      <c r="K98" s="39"/>
      <c r="P98" s="39"/>
      <c r="Q98" s="39"/>
      <c r="R98" s="39"/>
    </row>
    <row r="99" spans="5:18">
      <c r="E99" s="117"/>
      <c r="J99" s="39"/>
      <c r="K99" s="39"/>
      <c r="P99" s="39"/>
      <c r="Q99" s="39"/>
      <c r="R99" s="39"/>
    </row>
    <row r="100" spans="5:18">
      <c r="E100" s="117"/>
      <c r="J100" s="39"/>
      <c r="K100" s="39"/>
      <c r="P100" s="39"/>
      <c r="Q100" s="39"/>
      <c r="R100" s="39"/>
    </row>
    <row r="101" spans="5:18">
      <c r="E101" s="117"/>
      <c r="J101" s="39"/>
      <c r="K101" s="39"/>
      <c r="P101" s="39"/>
      <c r="Q101" s="39"/>
      <c r="R101" s="39"/>
    </row>
    <row r="102" spans="5:18">
      <c r="E102" s="117"/>
      <c r="J102" s="39"/>
      <c r="K102" s="39"/>
      <c r="P102" s="39"/>
      <c r="Q102" s="39"/>
      <c r="R102" s="39"/>
    </row>
    <row r="103" spans="5:18">
      <c r="E103" s="117"/>
      <c r="J103" s="39"/>
      <c r="K103" s="39"/>
      <c r="P103" s="39"/>
      <c r="Q103" s="39"/>
      <c r="R103" s="39"/>
    </row>
    <row r="104" spans="5:18">
      <c r="E104" s="117"/>
      <c r="J104" s="39"/>
      <c r="K104" s="39"/>
      <c r="P104" s="39"/>
      <c r="Q104" s="39"/>
      <c r="R104" s="39"/>
    </row>
    <row r="105" spans="5:18">
      <c r="E105" s="117"/>
      <c r="J105" s="39"/>
      <c r="K105" s="39"/>
      <c r="P105" s="39"/>
      <c r="Q105" s="39"/>
      <c r="R105" s="39"/>
    </row>
    <row r="106" spans="5:18">
      <c r="E106" s="117"/>
      <c r="J106" s="39"/>
      <c r="K106" s="39"/>
      <c r="P106" s="39"/>
      <c r="Q106" s="39"/>
      <c r="R106" s="39"/>
    </row>
    <row r="107" spans="5:18">
      <c r="E107" s="117"/>
      <c r="J107" s="39"/>
      <c r="K107" s="39"/>
      <c r="P107" s="39"/>
      <c r="Q107" s="39"/>
      <c r="R107" s="39"/>
    </row>
    <row r="108" spans="5:18">
      <c r="E108" s="117"/>
      <c r="J108" s="39"/>
      <c r="K108" s="39"/>
      <c r="P108" s="39"/>
      <c r="Q108" s="39"/>
      <c r="R108" s="39"/>
    </row>
    <row r="109" spans="5:18">
      <c r="E109" s="117"/>
      <c r="J109" s="39"/>
      <c r="K109" s="39"/>
      <c r="P109" s="39"/>
      <c r="Q109" s="39"/>
      <c r="R109" s="39"/>
    </row>
    <row r="110" spans="5:18">
      <c r="E110" s="117"/>
      <c r="J110" s="39"/>
      <c r="K110" s="39"/>
      <c r="P110" s="39"/>
      <c r="Q110" s="39"/>
      <c r="R110" s="39"/>
    </row>
    <row r="111" spans="5:18">
      <c r="E111" s="117"/>
      <c r="J111" s="39"/>
      <c r="K111" s="39"/>
      <c r="P111" s="39"/>
      <c r="Q111" s="39"/>
      <c r="R111" s="39"/>
    </row>
    <row r="112" spans="5:18">
      <c r="E112" s="117"/>
      <c r="J112" s="39"/>
      <c r="K112" s="39"/>
      <c r="P112" s="39"/>
      <c r="Q112" s="39"/>
      <c r="R112" s="39"/>
    </row>
    <row r="113" spans="5:18">
      <c r="E113" s="117"/>
      <c r="J113" s="39"/>
      <c r="K113" s="39"/>
      <c r="P113" s="39"/>
      <c r="Q113" s="39"/>
      <c r="R113" s="39"/>
    </row>
    <row r="114" spans="5:18">
      <c r="E114" s="117"/>
      <c r="J114" s="39"/>
      <c r="K114" s="39"/>
      <c r="P114" s="39"/>
      <c r="Q114" s="39"/>
      <c r="R114" s="39"/>
    </row>
    <row r="115" spans="5:18">
      <c r="E115" s="117"/>
      <c r="J115" s="39"/>
      <c r="K115" s="39"/>
      <c r="P115" s="39"/>
      <c r="Q115" s="39"/>
      <c r="R115" s="39"/>
    </row>
    <row r="116" spans="5:18">
      <c r="E116" s="117"/>
      <c r="J116" s="39"/>
      <c r="K116" s="39"/>
      <c r="P116" s="39"/>
      <c r="Q116" s="39"/>
      <c r="R116" s="39"/>
    </row>
    <row r="117" spans="5:18">
      <c r="E117" s="117"/>
      <c r="J117" s="39"/>
      <c r="K117" s="39"/>
      <c r="P117" s="39"/>
      <c r="Q117" s="39"/>
      <c r="R117" s="39"/>
    </row>
    <row r="118" spans="5:18">
      <c r="E118" s="117"/>
      <c r="J118" s="39"/>
      <c r="K118" s="39"/>
      <c r="P118" s="39"/>
      <c r="Q118" s="39"/>
      <c r="R118" s="39"/>
    </row>
    <row r="119" spans="5:18">
      <c r="E119" s="117"/>
      <c r="J119" s="39"/>
      <c r="K119" s="39"/>
      <c r="P119" s="39"/>
      <c r="Q119" s="39"/>
      <c r="R119" s="39"/>
    </row>
    <row r="120" spans="5:18">
      <c r="E120" s="117"/>
      <c r="J120" s="39"/>
      <c r="K120" s="39"/>
      <c r="P120" s="39"/>
      <c r="Q120" s="39"/>
      <c r="R120" s="39"/>
    </row>
    <row r="121" spans="5:18">
      <c r="E121" s="117"/>
      <c r="J121" s="39"/>
      <c r="K121" s="39"/>
      <c r="P121" s="39"/>
      <c r="Q121" s="39"/>
      <c r="R121" s="39"/>
    </row>
    <row r="122" spans="5:18">
      <c r="E122" s="117"/>
      <c r="J122" s="39"/>
      <c r="K122" s="39"/>
      <c r="P122" s="39"/>
      <c r="Q122" s="39"/>
      <c r="R122" s="39"/>
    </row>
    <row r="123" spans="5:18">
      <c r="E123" s="117"/>
      <c r="P123" s="39"/>
      <c r="Q123" s="39"/>
      <c r="R123" s="39"/>
    </row>
    <row r="124" spans="5:18">
      <c r="E124" s="117"/>
      <c r="P124" s="39"/>
      <c r="Q124" s="39"/>
      <c r="R124" s="39"/>
    </row>
    <row r="125" spans="5:18">
      <c r="E125" s="117"/>
      <c r="P125" s="39"/>
      <c r="Q125" s="39"/>
      <c r="R125" s="39"/>
    </row>
    <row r="126" spans="5:18">
      <c r="E126" s="117"/>
      <c r="P126" s="39"/>
      <c r="Q126" s="39"/>
      <c r="R126" s="39"/>
    </row>
    <row r="127" spans="5:18">
      <c r="E127" s="117"/>
      <c r="P127" s="39"/>
      <c r="Q127" s="39"/>
      <c r="R127" s="39"/>
    </row>
    <row r="128" spans="5:18">
      <c r="E128" s="117"/>
      <c r="P128" s="39"/>
      <c r="Q128" s="39"/>
      <c r="R128" s="39"/>
    </row>
    <row r="129" spans="5:18">
      <c r="E129" s="117"/>
      <c r="P129" s="39"/>
      <c r="Q129" s="39"/>
      <c r="R129" s="39"/>
    </row>
    <row r="130" spans="5:18">
      <c r="E130" s="117"/>
      <c r="P130" s="39"/>
      <c r="Q130" s="39"/>
      <c r="R130" s="39"/>
    </row>
    <row r="131" spans="5:18">
      <c r="E131" s="117"/>
      <c r="P131" s="39"/>
      <c r="Q131" s="39"/>
      <c r="R131" s="39"/>
    </row>
    <row r="132" spans="5:18">
      <c r="E132" s="117"/>
      <c r="P132" s="39"/>
      <c r="Q132" s="39"/>
      <c r="R132" s="39"/>
    </row>
    <row r="133" spans="5:18">
      <c r="E133" s="117"/>
      <c r="P133" s="39"/>
      <c r="Q133" s="39"/>
      <c r="R133" s="39"/>
    </row>
    <row r="134" spans="5:18">
      <c r="E134" s="117"/>
      <c r="P134" s="39"/>
      <c r="Q134" s="39"/>
      <c r="R134" s="39"/>
    </row>
    <row r="135" spans="5:18">
      <c r="E135" s="117"/>
      <c r="P135" s="39"/>
      <c r="Q135" s="39"/>
      <c r="R135" s="39"/>
    </row>
    <row r="136" spans="5:18">
      <c r="E136" s="117"/>
      <c r="P136" s="39"/>
      <c r="Q136" s="39"/>
      <c r="R136" s="39"/>
    </row>
    <row r="137" spans="5:18">
      <c r="E137" s="117"/>
      <c r="P137" s="39"/>
      <c r="Q137" s="39"/>
      <c r="R137" s="39"/>
    </row>
    <row r="138" spans="5:18">
      <c r="E138" s="117"/>
      <c r="P138" s="39"/>
      <c r="Q138" s="39"/>
      <c r="R138" s="39"/>
    </row>
    <row r="139" spans="5:18">
      <c r="E139" s="117"/>
      <c r="P139" s="39"/>
      <c r="Q139" s="39"/>
      <c r="R139" s="39"/>
    </row>
    <row r="140" spans="5:18">
      <c r="E140" s="117"/>
      <c r="P140" s="39"/>
      <c r="Q140" s="39"/>
      <c r="R140" s="39"/>
    </row>
    <row r="141" spans="5:18">
      <c r="E141" s="117"/>
      <c r="P141" s="39"/>
      <c r="Q141" s="39"/>
      <c r="R141" s="39"/>
    </row>
    <row r="142" spans="5:18">
      <c r="E142" s="117"/>
      <c r="P142" s="39"/>
      <c r="Q142" s="39"/>
      <c r="R142" s="39"/>
    </row>
    <row r="143" spans="5:18">
      <c r="E143" s="117"/>
      <c r="P143" s="39"/>
      <c r="Q143" s="39"/>
      <c r="R143" s="39"/>
    </row>
    <row r="144" spans="5:18">
      <c r="E144" s="117"/>
      <c r="P144" s="39"/>
      <c r="Q144" s="39"/>
      <c r="R144" s="39"/>
    </row>
    <row r="145" spans="5:18">
      <c r="E145" s="117"/>
      <c r="P145" s="39"/>
      <c r="Q145" s="39"/>
      <c r="R145" s="39"/>
    </row>
    <row r="146" spans="5:18">
      <c r="E146" s="117"/>
      <c r="P146" s="39"/>
      <c r="Q146" s="39"/>
      <c r="R146" s="39"/>
    </row>
    <row r="147" spans="5:18">
      <c r="E147" s="117"/>
      <c r="P147" s="39"/>
      <c r="Q147" s="39"/>
      <c r="R147" s="39"/>
    </row>
    <row r="148" spans="5:18">
      <c r="E148" s="262"/>
      <c r="P148" s="39"/>
      <c r="Q148" s="39"/>
      <c r="R148" s="39"/>
    </row>
    <row r="149" spans="5:18">
      <c r="E149" s="262"/>
      <c r="P149" s="39"/>
      <c r="Q149" s="39"/>
      <c r="R149" s="39"/>
    </row>
    <row r="150" spans="5:18">
      <c r="E150" s="262"/>
      <c r="P150" s="39"/>
      <c r="Q150" s="39"/>
      <c r="R150" s="39"/>
    </row>
    <row r="151" spans="5:18">
      <c r="E151" s="262"/>
      <c r="P151" s="39"/>
      <c r="Q151" s="39"/>
      <c r="R151" s="39"/>
    </row>
    <row r="152" spans="5:18">
      <c r="E152" s="262"/>
      <c r="P152" s="39"/>
      <c r="Q152" s="39"/>
      <c r="R152" s="39"/>
    </row>
    <row r="153" spans="5:18">
      <c r="E153" s="262"/>
      <c r="P153" s="39"/>
      <c r="Q153" s="39"/>
      <c r="R153" s="39"/>
    </row>
    <row r="154" spans="5:18">
      <c r="E154" s="262"/>
      <c r="P154" s="39"/>
      <c r="Q154" s="39"/>
      <c r="R154" s="39"/>
    </row>
    <row r="155" spans="5:18">
      <c r="E155" s="262"/>
      <c r="P155" s="39"/>
      <c r="Q155" s="39"/>
      <c r="R155" s="39"/>
    </row>
    <row r="156" spans="5:18">
      <c r="E156" s="262"/>
      <c r="P156" s="39"/>
      <c r="Q156" s="39"/>
      <c r="R156" s="39"/>
    </row>
    <row r="157" spans="5:18">
      <c r="E157" s="262"/>
      <c r="P157" s="39"/>
      <c r="Q157" s="39"/>
      <c r="R157" s="39"/>
    </row>
    <row r="158" spans="5:18">
      <c r="E158" s="262"/>
      <c r="P158" s="39"/>
      <c r="Q158" s="39"/>
      <c r="R158" s="39"/>
    </row>
    <row r="159" spans="5:18">
      <c r="E159" s="262"/>
      <c r="P159" s="39"/>
      <c r="Q159" s="39"/>
      <c r="R159" s="39"/>
    </row>
    <row r="160" spans="5:18">
      <c r="E160" s="262"/>
      <c r="P160" s="39"/>
      <c r="Q160" s="39"/>
      <c r="R160" s="39"/>
    </row>
    <row r="161" spans="5:18">
      <c r="E161" s="262"/>
      <c r="P161" s="39"/>
      <c r="Q161" s="39"/>
      <c r="R161" s="39"/>
    </row>
    <row r="162" spans="5:18">
      <c r="E162" s="262"/>
      <c r="P162" s="39"/>
      <c r="Q162" s="39"/>
      <c r="R162" s="39"/>
    </row>
    <row r="163" spans="5:18">
      <c r="E163" s="262"/>
      <c r="P163" s="39"/>
      <c r="Q163" s="39"/>
      <c r="R163" s="39"/>
    </row>
    <row r="164" spans="5:18">
      <c r="E164" s="262"/>
      <c r="P164" s="39"/>
      <c r="Q164" s="39"/>
      <c r="R164" s="39"/>
    </row>
    <row r="165" spans="5:18">
      <c r="E165" s="262"/>
      <c r="P165" s="39"/>
      <c r="Q165" s="39"/>
      <c r="R165" s="39"/>
    </row>
    <row r="166" spans="5:18">
      <c r="E166" s="262"/>
      <c r="P166" s="39"/>
      <c r="Q166" s="39"/>
      <c r="R166" s="39"/>
    </row>
    <row r="167" spans="5:18">
      <c r="E167" s="262"/>
      <c r="P167" s="39"/>
      <c r="Q167" s="39"/>
      <c r="R167" s="39"/>
    </row>
    <row r="168" spans="5:18">
      <c r="E168" s="262"/>
      <c r="P168" s="39"/>
      <c r="Q168" s="39"/>
      <c r="R168" s="39"/>
    </row>
    <row r="169" spans="5:18">
      <c r="E169" s="262"/>
      <c r="P169" s="39"/>
      <c r="Q169" s="39"/>
      <c r="R169" s="39"/>
    </row>
    <row r="170" spans="5:18">
      <c r="E170" s="262"/>
      <c r="P170" s="39"/>
      <c r="Q170" s="39"/>
      <c r="R170" s="39"/>
    </row>
    <row r="171" spans="5:18">
      <c r="E171" s="262"/>
      <c r="P171" s="39"/>
      <c r="Q171" s="39"/>
      <c r="R171" s="39"/>
    </row>
    <row r="172" spans="5:18">
      <c r="E172" s="262"/>
      <c r="P172" s="39"/>
      <c r="Q172" s="39"/>
      <c r="R172" s="39"/>
    </row>
    <row r="173" spans="5:18">
      <c r="E173" s="262"/>
      <c r="P173" s="39"/>
      <c r="Q173" s="39"/>
      <c r="R173" s="39"/>
    </row>
    <row r="174" spans="5:18">
      <c r="E174" s="262"/>
      <c r="P174" s="39"/>
      <c r="Q174" s="39"/>
      <c r="R174" s="39"/>
    </row>
    <row r="175" spans="5:18">
      <c r="E175" s="262"/>
      <c r="P175" s="39"/>
      <c r="Q175" s="39"/>
      <c r="R175" s="39"/>
    </row>
    <row r="176" spans="5:18">
      <c r="E176" s="262"/>
      <c r="P176" s="39"/>
      <c r="Q176" s="39"/>
      <c r="R176" s="39"/>
    </row>
    <row r="177" spans="5:18">
      <c r="E177" s="262"/>
      <c r="P177" s="39"/>
      <c r="Q177" s="39"/>
      <c r="R177" s="39"/>
    </row>
    <row r="178" spans="5:18">
      <c r="E178" s="262"/>
      <c r="P178" s="39"/>
      <c r="Q178" s="39"/>
      <c r="R178" s="39"/>
    </row>
    <row r="179" spans="5:18">
      <c r="E179" s="262"/>
      <c r="P179" s="39"/>
      <c r="Q179" s="39"/>
      <c r="R179" s="39"/>
    </row>
    <row r="180" spans="5:18">
      <c r="E180" s="262"/>
      <c r="P180" s="39"/>
      <c r="Q180" s="39"/>
      <c r="R180" s="39"/>
    </row>
    <row r="181" spans="5:18">
      <c r="E181" s="262"/>
      <c r="P181" s="39"/>
      <c r="Q181" s="39"/>
      <c r="R181" s="39"/>
    </row>
    <row r="182" spans="5:18">
      <c r="E182" s="262"/>
      <c r="P182" s="39"/>
      <c r="Q182" s="39"/>
      <c r="R182" s="39"/>
    </row>
    <row r="183" spans="5:18">
      <c r="E183" s="262"/>
      <c r="P183" s="39"/>
      <c r="Q183" s="39"/>
      <c r="R183" s="39"/>
    </row>
    <row r="184" spans="5:18">
      <c r="E184" s="262"/>
      <c r="P184" s="39"/>
      <c r="Q184" s="39"/>
      <c r="R184" s="39"/>
    </row>
    <row r="185" spans="5:18">
      <c r="E185" s="262"/>
      <c r="P185" s="39"/>
      <c r="Q185" s="39"/>
      <c r="R185" s="39"/>
    </row>
    <row r="186" spans="5:18">
      <c r="E186" s="262"/>
      <c r="P186" s="39"/>
      <c r="Q186" s="39"/>
      <c r="R186" s="39"/>
    </row>
    <row r="187" spans="5:18">
      <c r="E187" s="262"/>
      <c r="P187" s="39"/>
      <c r="Q187" s="39"/>
      <c r="R187" s="39"/>
    </row>
    <row r="188" spans="5:18">
      <c r="E188" s="262"/>
      <c r="P188" s="39"/>
      <c r="Q188" s="39"/>
      <c r="R188" s="39"/>
    </row>
    <row r="189" spans="5:18">
      <c r="E189" s="262"/>
      <c r="P189" s="39"/>
      <c r="Q189" s="39"/>
      <c r="R189" s="39"/>
    </row>
    <row r="190" spans="5:18">
      <c r="E190" s="262"/>
    </row>
    <row r="191" spans="5:18">
      <c r="E191" s="262"/>
    </row>
    <row r="192" spans="5:18">
      <c r="E192" s="262"/>
    </row>
    <row r="193" spans="5:5">
      <c r="E193" s="262"/>
    </row>
    <row r="194" spans="5:5">
      <c r="E194" s="262"/>
    </row>
    <row r="195" spans="5:5">
      <c r="E195" s="262"/>
    </row>
    <row r="196" spans="5:5">
      <c r="E196" s="262"/>
    </row>
    <row r="197" spans="5:5">
      <c r="E197" s="262"/>
    </row>
    <row r="198" spans="5:5">
      <c r="E198" s="262"/>
    </row>
    <row r="199" spans="5:5">
      <c r="E199" s="262"/>
    </row>
    <row r="200" spans="5:5">
      <c r="E200" s="262"/>
    </row>
    <row r="201" spans="5:5">
      <c r="E201" s="262"/>
    </row>
    <row r="202" spans="5:5">
      <c r="E202" s="262"/>
    </row>
    <row r="203" spans="5:5">
      <c r="E203" s="262"/>
    </row>
    <row r="204" spans="5:5">
      <c r="E204" s="262"/>
    </row>
    <row r="205" spans="5:5">
      <c r="E205" s="262"/>
    </row>
    <row r="206" spans="5:5">
      <c r="E206" s="262"/>
    </row>
    <row r="207" spans="5:5">
      <c r="E207" s="262"/>
    </row>
    <row r="208" spans="5:5">
      <c r="E208" s="262"/>
    </row>
    <row r="209" spans="5:5">
      <c r="E209" s="262"/>
    </row>
    <row r="210" spans="5:5">
      <c r="E210" s="262"/>
    </row>
    <row r="211" spans="5:5">
      <c r="E211" s="262"/>
    </row>
    <row r="212" spans="5:5">
      <c r="E212" s="262"/>
    </row>
    <row r="213" spans="5:5">
      <c r="E213" s="262"/>
    </row>
    <row r="214" spans="5:5">
      <c r="E214" s="262"/>
    </row>
    <row r="215" spans="5:5">
      <c r="E215" s="262"/>
    </row>
    <row r="216" spans="5:5">
      <c r="E216" s="262"/>
    </row>
    <row r="217" spans="5:5">
      <c r="E217" s="262"/>
    </row>
    <row r="218" spans="5:5">
      <c r="E218" s="262"/>
    </row>
    <row r="219" spans="5:5">
      <c r="E219" s="262"/>
    </row>
    <row r="220" spans="5:5">
      <c r="E220" s="262"/>
    </row>
    <row r="221" spans="5:5">
      <c r="E221" s="262"/>
    </row>
    <row r="222" spans="5:5">
      <c r="E222" s="262"/>
    </row>
    <row r="223" spans="5:5">
      <c r="E223" s="262"/>
    </row>
    <row r="224" spans="5:5">
      <c r="E224" s="262"/>
    </row>
    <row r="225" spans="5:5">
      <c r="E225" s="262"/>
    </row>
    <row r="226" spans="5:5">
      <c r="E226" s="262"/>
    </row>
    <row r="227" spans="5:5">
      <c r="E227" s="262"/>
    </row>
    <row r="228" spans="5:5">
      <c r="E228" s="262"/>
    </row>
    <row r="229" spans="5:5">
      <c r="E229" s="262"/>
    </row>
    <row r="230" spans="5:5">
      <c r="E230" s="262"/>
    </row>
    <row r="231" spans="5:5">
      <c r="E231" s="262"/>
    </row>
    <row r="232" spans="5:5">
      <c r="E232" s="262"/>
    </row>
    <row r="233" spans="5:5">
      <c r="E233" s="262"/>
    </row>
    <row r="234" spans="5:5">
      <c r="E234" s="262"/>
    </row>
    <row r="235" spans="5:5">
      <c r="E235" s="262"/>
    </row>
    <row r="236" spans="5:5">
      <c r="E236" s="262"/>
    </row>
    <row r="237" spans="5:5">
      <c r="E237" s="262"/>
    </row>
    <row r="238" spans="5:5">
      <c r="E238" s="262"/>
    </row>
    <row r="239" spans="5:5">
      <c r="E239" s="262"/>
    </row>
    <row r="240" spans="5:5">
      <c r="E240" s="262"/>
    </row>
    <row r="241" spans="5:5">
      <c r="E241" s="262"/>
    </row>
    <row r="242" spans="5:5">
      <c r="E242" s="262"/>
    </row>
    <row r="243" spans="5:5">
      <c r="E243" s="262"/>
    </row>
    <row r="244" spans="5:5">
      <c r="E244" s="262"/>
    </row>
    <row r="245" spans="5:5">
      <c r="E245" s="262"/>
    </row>
    <row r="246" spans="5:5">
      <c r="E246" s="262"/>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customSheetView>
    <customSheetView guid="{D41C0D8C-591E-4B34-99B3-B45BA51A58EC}" showGridLines="0" state="hidden">
      <pane xSplit="3" ySplit="5" topLeftCell="D6" activePane="bottomRight" state="frozen"/>
      <selection pane="bottomRight" activeCell="D1" sqref="D1"/>
      <pageMargins left="0" right="0" top="0" bottom="0" header="0" footer="0"/>
    </customSheetView>
    <customSheetView guid="{8F590910-6C03-4233-9C41-6540BF2DE453}" showGridLines="0" state="hidden">
      <pane xSplit="3" ySplit="5" topLeftCell="D6" activePane="bottomRight" state="frozen"/>
      <selection pane="bottomRight" activeCell="D1" sqref="D1"/>
      <pageMargins left="0" right="0" top="0" bottom="0" header="0" footer="0"/>
    </customSheetView>
    <customSheetView guid="{55CEC4CC-9BBF-4F2D-BA17-E94F4B26FAC5}" showGridLines="0" state="hidden">
      <pane xSplit="3" ySplit="5" topLeftCell="D6" activePane="bottomRight" state="frozen"/>
      <selection pane="bottomRight" activeCell="D1" sqref="D1"/>
      <pageMargins left="0" right="0" top="0" bottom="0" header="0" footer="0"/>
    </customSheetView>
    <customSheetView guid="{7735C88E-3A13-4DCF-BB32-4D20A306A8BB}" showGridLines="0">
      <pane xSplit="3" ySplit="5" topLeftCell="D6" activePane="bottomRight" state="frozen"/>
      <selection pane="bottomRight" activeCell="D1" sqref="D1"/>
      <pageMargins left="0" right="0" top="0" bottom="0" header="0" footer="0"/>
    </customSheetView>
    <customSheetView guid="{27B9E3C6-8189-41E0-896B-02A30393FDC0}" showGridLines="0" state="hidden">
      <pane xSplit="3" ySplit="5" topLeftCell="D6" activePane="bottomRight" state="frozen"/>
      <selection pane="bottomRight" activeCell="D1" sqref="D1"/>
      <pageMargins left="0" right="0" top="0" bottom="0" header="0" footer="0"/>
    </customSheetView>
    <customSheetView guid="{ED9AC919-98EB-43A3-A158-23FD7D007D30}" showGridLines="0">
      <pane xSplit="3" ySplit="5" topLeftCell="D6" activePane="bottomRight" state="frozen"/>
      <selection pane="bottomRight" activeCell="D1" sqref="D1"/>
      <pageMargins left="0" right="0" top="0" bottom="0" header="0" footer="0"/>
    </customSheetView>
  </customSheetViews>
  <mergeCells count="1">
    <mergeCell ref="I2:K2"/>
  </mergeCells>
  <dataValidations count="2">
    <dataValidation type="list" allowBlank="1" showInputMessage="1" showErrorMessage="1" sqref="D20:D30 D61:D65 D46:D51 D53:D58 D68:D75 D34:D44 D8 D10:D17" xr:uid="{B6CD8565-D0A8-4851-9D08-6AE0AB038D35}">
      <formula1>Flow_units</formula1>
    </dataValidation>
    <dataValidation type="custom" allowBlank="1" showInputMessage="1" showErrorMessage="1" error="Please do not change this formula" prompt="Please do not change this formula" sqref="M4 T4 L1:L1048576 N5:S5 S1:S4 N1:O4 N6:O1048576 S78:S1048576 S6:S74 S75:S77" xr:uid="{F0C3B577-2BB9-47A9-96FB-83EB6BA8E137}">
      <formula1>"Please do not change this formula"</formula1>
    </dataValidation>
  </dataValidations>
  <hyperlinks>
    <hyperlink ref="I2:J2" location="GHG_BIOMASS_GASIFICATION!A1" display="Go to the summary tab of this pathway" xr:uid="{39E475D3-D642-42FC-B621-E7BE126D9E74}"/>
  </hyperlinks>
  <pageMargins left="0" right="0" top="0" bottom="0" header="0" footer="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3" id="{46010B45-5F19-4A15-828E-914CFB612FFA}">
            <xm:f>AND(Initial_questions!$E$21&lt;&gt;"Biomass Gasification with CCS",Initial_questions!$E$21&lt;&gt;"Biomass Gasification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27" id="{61AD4511-8A3F-475B-A591-40A99F372EFF}">
            <xm:f>AND(GHG_BIOMASS_GASIFICATION!$D$9="Default",Master_Switch="On")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24" id="{8BE5CD30-E7FF-407E-AC46-1089307E3656}">
            <xm:f>AND(GHG_BIOMASS_GASIFICATION!$D$10="Default",Master_Switch="On")</xm:f>
            <x14:dxf>
              <font>
                <color theme="0"/>
              </font>
              <fill>
                <patternFill>
                  <bgColor theme="0"/>
                </patternFill>
              </fill>
              <border>
                <left/>
                <right/>
                <top/>
                <bottom/>
              </border>
            </x14:dxf>
          </x14:cfRule>
          <xm:sqref>A34:XFD43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BB2D41C-D64B-462F-81D3-F056EF2C78A1}">
          <x14:formula1>
            <xm:f>Units!$X$120</xm:f>
          </x14:formula1>
          <xm:sqref>D9</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92F24-2240-4C45-AAE7-3A09F1F67F24}">
  <sheetPr codeName="Sheet34">
    <tabColor theme="7" tint="0.59999389629810485"/>
  </sheetPr>
  <dimension ref="A1:Z189"/>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IF(AND(Initial_questions!$E$21&lt;&gt;"Waste Gasification with CCS",Initial_questions!$E$21&lt;&gt;"Waste Gasification without CCS",Master_Switch="On"),"User should not fill in this sheet, but switch to other non-blank GHG worksheets","")</f>
        <v>User should not fill in this sheet, but switch to other non-blank GHG worksheets</v>
      </c>
      <c r="E1" s="262"/>
    </row>
    <row r="2" spans="1:26" ht="20.399999999999999" customHeight="1">
      <c r="B2" s="83" t="str">
        <f>IF(AND(OR(GHG_WASTE_GASIFICATION!$D$5="Default",GHG_WASTE_GASIFICATION!$D$26="Default"),Master_Switch="On"),"Default data selected for this module, move to the next step of the pathway","")</f>
        <v/>
      </c>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90" t="s">
        <v>592</v>
      </c>
      <c r="C8" s="188" t="s">
        <v>646</v>
      </c>
      <c r="D8" s="183" t="s">
        <v>747</v>
      </c>
      <c r="E8" s="35"/>
      <c r="F8" s="24"/>
      <c r="G8" s="21"/>
      <c r="H8" s="20"/>
      <c r="I8" s="36"/>
      <c r="J8" s="307"/>
      <c r="K8" s="309"/>
      <c r="L8" s="247">
        <f t="shared" ref="L8:L17" si="0">IF($D8="MWh/yr (LHV)",$E8,$J8*$E8/Conversion_kWh_to_MJ)</f>
        <v>0</v>
      </c>
      <c r="M8" s="12"/>
      <c r="P8" s="35" t="str">
        <f t="shared" ref="P8:P17" si="1">IF(B8="", "", IF(D8="MWh/yr (LHV)", "Use column to right", "Enter data here"))</f>
        <v>Use column to right</v>
      </c>
      <c r="Q8" s="35" t="e">
        <f>INDEX(Assumptions!$F$5:$AJ$5,1,MATCH(Initial_questions!$E$24,Assumptions!$F$4:$AJ$4,0))*1000/Conversion_kWh_to_MJ</f>
        <v>#N/A</v>
      </c>
      <c r="R8" s="35" t="s">
        <v>896</v>
      </c>
      <c r="S8" s="247" t="str">
        <f t="shared" ref="S8:S17" si="2">IFERROR(IF(D8="tonnes/yr", $P8*$E8/($L$20*3.6), $Q8*$E8*3.6/($L$20*3.6)), "Unfilled fields to left")</f>
        <v>Unfilled fields to left</v>
      </c>
      <c r="U8" s="25"/>
      <c r="V8" s="12"/>
    </row>
    <row r="9" spans="1:26">
      <c r="B9" s="190" t="s">
        <v>592</v>
      </c>
      <c r="C9" s="188"/>
      <c r="D9" s="183"/>
      <c r="E9" s="35"/>
      <c r="F9" s="21"/>
      <c r="G9" s="21"/>
      <c r="H9" s="20"/>
      <c r="I9" s="36"/>
      <c r="J9" s="307"/>
      <c r="K9" s="309"/>
      <c r="L9" s="247">
        <f t="shared" si="0"/>
        <v>0</v>
      </c>
      <c r="M9" s="12"/>
      <c r="P9" s="35" t="str">
        <f t="shared" si="1"/>
        <v>Enter data here</v>
      </c>
      <c r="Q9" s="35" t="str">
        <f t="shared" ref="Q9:Q17" si="3">IF(B9="", "", IF(D9="MWh/yr (LHV)", "Enter data here", "Use column to left"))</f>
        <v>Use column to left</v>
      </c>
      <c r="R9" s="35" t="s">
        <v>898</v>
      </c>
      <c r="S9" s="247" t="str">
        <f t="shared" si="2"/>
        <v>Unfilled fields to left</v>
      </c>
      <c r="U9" s="25"/>
      <c r="V9" s="12"/>
    </row>
    <row r="10" spans="1:26">
      <c r="B10" s="190" t="s">
        <v>599</v>
      </c>
      <c r="C10" s="188" t="s">
        <v>600</v>
      </c>
      <c r="D10" s="183" t="s">
        <v>582</v>
      </c>
      <c r="E10" s="35"/>
      <c r="F10" s="24"/>
      <c r="G10" s="21"/>
      <c r="H10" s="20"/>
      <c r="I10" s="36"/>
      <c r="J10" s="307"/>
      <c r="K10" s="309"/>
      <c r="L10" s="247">
        <f t="shared" si="0"/>
        <v>0</v>
      </c>
      <c r="M10" s="12"/>
      <c r="P10" s="35" t="str">
        <f t="shared" si="1"/>
        <v>Enter data here</v>
      </c>
      <c r="Q10" s="35" t="str">
        <f t="shared" si="3"/>
        <v>Use column to left</v>
      </c>
      <c r="R10" s="35" t="s">
        <v>898</v>
      </c>
      <c r="S10" s="247" t="str">
        <f t="shared" si="2"/>
        <v>Unfilled fields to left</v>
      </c>
      <c r="U10" s="25"/>
      <c r="V10" s="12"/>
    </row>
    <row r="11" spans="1:26">
      <c r="B11" s="190" t="s">
        <v>599</v>
      </c>
      <c r="C11" s="188" t="s">
        <v>601</v>
      </c>
      <c r="D11" s="183" t="s">
        <v>582</v>
      </c>
      <c r="E11" s="35"/>
      <c r="F11" s="21"/>
      <c r="G11" s="21"/>
      <c r="H11" s="20"/>
      <c r="I11" s="36"/>
      <c r="J11" s="307"/>
      <c r="K11" s="309"/>
      <c r="L11" s="247">
        <f t="shared" si="0"/>
        <v>0</v>
      </c>
      <c r="M11" s="12"/>
      <c r="P11" s="35" t="str">
        <f t="shared" si="1"/>
        <v>Enter data here</v>
      </c>
      <c r="Q11" s="35" t="str">
        <f t="shared" si="3"/>
        <v>Use column to left</v>
      </c>
      <c r="R11" s="35" t="s">
        <v>898</v>
      </c>
      <c r="S11" s="247" t="str">
        <f t="shared" si="2"/>
        <v>Unfilled fields to left</v>
      </c>
      <c r="U11" s="25"/>
      <c r="V11" s="12"/>
    </row>
    <row r="12" spans="1:26">
      <c r="B12" s="190" t="s">
        <v>605</v>
      </c>
      <c r="C12" s="188" t="s">
        <v>607</v>
      </c>
      <c r="D12" s="183" t="s">
        <v>582</v>
      </c>
      <c r="E12" s="35"/>
      <c r="F12" s="24"/>
      <c r="G12" s="21"/>
      <c r="H12" s="20"/>
      <c r="I12" s="36"/>
      <c r="J12" s="307"/>
      <c r="K12" s="309"/>
      <c r="L12" s="247">
        <f t="shared" si="0"/>
        <v>0</v>
      </c>
      <c r="M12" s="12"/>
      <c r="P12" s="35" t="str">
        <f t="shared" si="1"/>
        <v>Enter data here</v>
      </c>
      <c r="Q12" s="35" t="str">
        <f t="shared" si="3"/>
        <v>Use column to left</v>
      </c>
      <c r="R12" s="35" t="s">
        <v>898</v>
      </c>
      <c r="S12" s="247" t="str">
        <f t="shared" si="2"/>
        <v>Unfilled fields to left</v>
      </c>
      <c r="U12" s="25"/>
      <c r="V12" s="12"/>
    </row>
    <row r="13" spans="1:26">
      <c r="B13" s="190" t="s">
        <v>605</v>
      </c>
      <c r="C13" s="188" t="s">
        <v>635</v>
      </c>
      <c r="D13" s="183" t="s">
        <v>582</v>
      </c>
      <c r="E13" s="35"/>
      <c r="F13" s="21"/>
      <c r="G13" s="21"/>
      <c r="H13" s="20"/>
      <c r="I13" s="36"/>
      <c r="J13" s="307"/>
      <c r="K13" s="309"/>
      <c r="L13" s="247">
        <f t="shared" si="0"/>
        <v>0</v>
      </c>
      <c r="M13" s="12"/>
      <c r="P13" s="35" t="str">
        <f t="shared" si="1"/>
        <v>Enter data here</v>
      </c>
      <c r="Q13" s="35" t="str">
        <f t="shared" si="3"/>
        <v>Use column to left</v>
      </c>
      <c r="R13" s="35" t="s">
        <v>898</v>
      </c>
      <c r="S13" s="247" t="str">
        <f t="shared" si="2"/>
        <v>Unfilled fields to left</v>
      </c>
      <c r="U13" s="25"/>
      <c r="V13" s="12"/>
    </row>
    <row r="14" spans="1:26">
      <c r="B14" s="190" t="s">
        <v>657</v>
      </c>
      <c r="C14" s="188" t="s">
        <v>609</v>
      </c>
      <c r="D14" s="183" t="s">
        <v>582</v>
      </c>
      <c r="E14" s="35"/>
      <c r="F14" s="21"/>
      <c r="G14" s="21"/>
      <c r="H14" s="20"/>
      <c r="I14" s="36"/>
      <c r="J14" s="307"/>
      <c r="K14" s="309"/>
      <c r="L14" s="247">
        <f t="shared" si="0"/>
        <v>0</v>
      </c>
      <c r="M14" s="12"/>
      <c r="P14" s="35" t="str">
        <f t="shared" si="1"/>
        <v>Enter data here</v>
      </c>
      <c r="Q14" s="35" t="str">
        <f t="shared" si="3"/>
        <v>Use column to left</v>
      </c>
      <c r="R14" s="35" t="s">
        <v>898</v>
      </c>
      <c r="S14" s="247" t="str">
        <f t="shared" si="2"/>
        <v>Unfilled fields to left</v>
      </c>
      <c r="U14" s="25"/>
      <c r="V14" s="12"/>
    </row>
    <row r="15" spans="1:26">
      <c r="B15" s="190" t="s">
        <v>657</v>
      </c>
      <c r="C15" s="188" t="s">
        <v>677</v>
      </c>
      <c r="D15" s="183" t="s">
        <v>582</v>
      </c>
      <c r="E15" s="35"/>
      <c r="F15" s="21"/>
      <c r="G15" s="21"/>
      <c r="H15" s="20"/>
      <c r="I15" s="36"/>
      <c r="J15" s="307"/>
      <c r="K15" s="309"/>
      <c r="L15" s="247">
        <f t="shared" si="0"/>
        <v>0</v>
      </c>
      <c r="M15" s="12"/>
      <c r="P15" s="35" t="str">
        <f t="shared" si="1"/>
        <v>Enter data here</v>
      </c>
      <c r="Q15" s="35" t="str">
        <f t="shared" si="3"/>
        <v>Use column to left</v>
      </c>
      <c r="R15" s="35" t="s">
        <v>898</v>
      </c>
      <c r="S15" s="247" t="str">
        <f t="shared" si="2"/>
        <v>Unfilled fields to left</v>
      </c>
      <c r="U15" s="25"/>
      <c r="V15" s="12"/>
    </row>
    <row r="16" spans="1:26">
      <c r="B16" s="190"/>
      <c r="C16" s="188"/>
      <c r="D16" s="183"/>
      <c r="E16" s="35"/>
      <c r="F16" s="21"/>
      <c r="G16" s="21"/>
      <c r="H16" s="20"/>
      <c r="I16" s="36"/>
      <c r="J16" s="307"/>
      <c r="K16" s="309"/>
      <c r="L16" s="247">
        <f t="shared" si="0"/>
        <v>0</v>
      </c>
      <c r="M16" s="12"/>
      <c r="P16" s="35" t="str">
        <f t="shared" ref="P16" si="4">IF(B16="", "", IF(D16="MWh/yr (LHV)", "Use column to right", "Enter data here"))</f>
        <v/>
      </c>
      <c r="Q16" s="35" t="str">
        <f t="shared" ref="Q16" si="5">IF(B16="", "", IF(D16="MWh/yr (LHV)", "Enter data here", "Use column to left"))</f>
        <v/>
      </c>
      <c r="R16" s="35"/>
      <c r="S16" s="247" t="str">
        <f t="shared" si="2"/>
        <v>Unfilled fields to left</v>
      </c>
      <c r="U16" s="25"/>
      <c r="V16" s="12"/>
    </row>
    <row r="17" spans="2:26">
      <c r="B17" s="16"/>
      <c r="C17" s="15"/>
      <c r="D17" s="183"/>
      <c r="E17" s="35"/>
      <c r="F17" s="21"/>
      <c r="G17" s="21"/>
      <c r="H17" s="20"/>
      <c r="I17" s="36"/>
      <c r="J17" s="307"/>
      <c r="K17" s="309"/>
      <c r="L17" s="247">
        <f t="shared" si="0"/>
        <v>0</v>
      </c>
      <c r="M17" s="12"/>
      <c r="P17" s="35" t="str">
        <f t="shared" si="1"/>
        <v/>
      </c>
      <c r="Q17" s="35" t="str">
        <f t="shared" si="3"/>
        <v/>
      </c>
      <c r="R17" s="35"/>
      <c r="S17" s="247" t="str">
        <f t="shared" si="2"/>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684</v>
      </c>
      <c r="D20" s="183" t="s">
        <v>582</v>
      </c>
      <c r="E20" s="35"/>
      <c r="F20" s="24"/>
      <c r="G20" s="21"/>
      <c r="H20" s="21"/>
      <c r="I20" s="21"/>
      <c r="J20" s="307"/>
      <c r="K20" s="313"/>
      <c r="L20" s="247">
        <f t="shared" ref="L20:L31" si="6">IF($D20="MWh/yr (LHV)",$E20,$J20*$E20/Conversion_kWh_to_MJ)</f>
        <v>0</v>
      </c>
      <c r="N20" s="251" t="s">
        <v>485</v>
      </c>
      <c r="O20" s="250" t="str">
        <f>IFERROR(L20/(SUM($L$20:$L$22)),"")</f>
        <v/>
      </c>
      <c r="P20" s="42"/>
      <c r="Q20" s="42"/>
      <c r="R20" s="42"/>
      <c r="S20" s="42"/>
      <c r="U20" s="21"/>
      <c r="V20" s="12"/>
    </row>
    <row r="21" spans="2:26" s="14" customFormat="1">
      <c r="B21" s="190" t="s">
        <v>583</v>
      </c>
      <c r="C21" s="188" t="s">
        <v>804</v>
      </c>
      <c r="D21" s="183" t="s">
        <v>582</v>
      </c>
      <c r="E21" s="35"/>
      <c r="F21" s="21"/>
      <c r="G21" s="21"/>
      <c r="H21" s="20"/>
      <c r="I21" s="33"/>
      <c r="J21" s="307"/>
      <c r="K21" s="309"/>
      <c r="L21" s="247">
        <f t="shared" si="6"/>
        <v>0</v>
      </c>
      <c r="M21" s="12"/>
      <c r="N21" s="12"/>
      <c r="O21" s="250" t="str">
        <f t="shared" ref="O21:O22" si="7">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6"/>
        <v>0</v>
      </c>
      <c r="M22" s="12"/>
      <c r="N22" s="12"/>
      <c r="O22" s="250" t="str">
        <f t="shared" si="7"/>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6"/>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6"/>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6"/>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6"/>
        <v>0</v>
      </c>
      <c r="M26" s="12"/>
      <c r="N26" s="12"/>
      <c r="O26" s="12"/>
      <c r="P26" s="110"/>
      <c r="Q26" s="110"/>
      <c r="R26" s="110"/>
      <c r="S26" s="12"/>
      <c r="U26" s="21"/>
    </row>
    <row r="27" spans="2:26" s="14" customFormat="1">
      <c r="B27" s="190" t="s">
        <v>611</v>
      </c>
      <c r="C27" s="188" t="s">
        <v>820</v>
      </c>
      <c r="D27" s="183" t="s">
        <v>582</v>
      </c>
      <c r="E27" s="35"/>
      <c r="F27" s="34"/>
      <c r="G27" s="21"/>
      <c r="H27" s="20"/>
      <c r="I27" s="36"/>
      <c r="J27" s="307"/>
      <c r="K27" s="309"/>
      <c r="L27" s="247">
        <f t="shared" si="6"/>
        <v>0</v>
      </c>
      <c r="M27" s="12"/>
      <c r="N27" s="12"/>
      <c r="O27" s="12"/>
      <c r="P27" s="35">
        <v>1000</v>
      </c>
      <c r="Q27" s="546"/>
      <c r="R27" s="35" t="s">
        <v>821</v>
      </c>
      <c r="S27" s="247"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6"/>
        <v>0</v>
      </c>
      <c r="M28" s="12"/>
      <c r="N28" s="12"/>
      <c r="O28" s="12"/>
      <c r="P28" s="35">
        <v>28000</v>
      </c>
      <c r="Q28" s="546"/>
      <c r="R28" s="35" t="s">
        <v>651</v>
      </c>
      <c r="S28" s="247" t="str">
        <f>IFERROR(IF(D28="tonnes/yr", $P28*$E28/($L$20*3.6), $Q28*$E28*3.6/($L$20*3.6)), "Unfilled fields to left")</f>
        <v>Unfilled fields to left</v>
      </c>
      <c r="U28" s="21"/>
    </row>
    <row r="29" spans="2:26" s="14" customFormat="1">
      <c r="B29" s="190" t="s">
        <v>640</v>
      </c>
      <c r="C29" s="188" t="s">
        <v>824</v>
      </c>
      <c r="D29" s="183" t="s">
        <v>582</v>
      </c>
      <c r="E29" s="35"/>
      <c r="F29" s="21"/>
      <c r="G29" s="21"/>
      <c r="H29" s="20"/>
      <c r="I29" s="36"/>
      <c r="J29" s="307"/>
      <c r="K29" s="309"/>
      <c r="L29" s="247">
        <f t="shared" si="6"/>
        <v>0</v>
      </c>
      <c r="M29" s="12"/>
      <c r="N29" s="12"/>
      <c r="O29" s="12"/>
      <c r="P29" s="35">
        <v>265000</v>
      </c>
      <c r="Q29" s="546"/>
      <c r="R29" s="35" t="s">
        <v>651</v>
      </c>
      <c r="S29" s="247"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6"/>
        <v>0</v>
      </c>
      <c r="M30" s="12"/>
      <c r="N30" s="12"/>
      <c r="O30" s="12"/>
      <c r="P30" s="307"/>
      <c r="Q30" s="505"/>
      <c r="R30" s="309"/>
      <c r="S30" s="247" t="str">
        <f>IFERROR(IF(D30="tonnes/yr", $P30*$E30/($L$20*3.6), $Q30*$E30*3.6/($L$20*3.6)), "Unfilled fields to left")</f>
        <v>Unfilled fields to left</v>
      </c>
      <c r="U30" s="21"/>
    </row>
    <row r="31" spans="2:26" s="14" customFormat="1">
      <c r="B31" s="16"/>
      <c r="C31" s="15"/>
      <c r="D31" s="183"/>
      <c r="E31" s="35"/>
      <c r="F31" s="21"/>
      <c r="G31" s="21"/>
      <c r="H31" s="20"/>
      <c r="I31" s="36"/>
      <c r="J31" s="307"/>
      <c r="K31" s="309"/>
      <c r="L31" s="247">
        <f t="shared" si="6"/>
        <v>0</v>
      </c>
      <c r="M31" s="12"/>
      <c r="N31" s="12"/>
      <c r="O31" s="12"/>
      <c r="P31" s="307"/>
      <c r="Q31" s="505"/>
      <c r="R31" s="309"/>
      <c r="S31" s="247"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40"/>
      <c r="V32" s="12"/>
    </row>
    <row r="33" spans="2:22">
      <c r="D33" s="17"/>
      <c r="E33" s="144"/>
      <c r="J33" s="39"/>
      <c r="K33" s="39"/>
      <c r="M33" s="12"/>
      <c r="P33" s="39"/>
      <c r="Q33" s="39"/>
      <c r="R33" s="38" t="s">
        <v>641</v>
      </c>
      <c r="S33" s="157">
        <f>SUM(S7:S32)</f>
        <v>0</v>
      </c>
      <c r="V33" s="12"/>
    </row>
    <row r="34" spans="2:22">
      <c r="B34" s="149" t="s">
        <v>94</v>
      </c>
      <c r="C34" s="163"/>
      <c r="D34" s="163"/>
      <c r="E34" s="527"/>
      <c r="I34" s="12"/>
      <c r="J34" s="110"/>
      <c r="K34" s="110"/>
      <c r="L34" s="110"/>
      <c r="M34" s="12"/>
      <c r="P34" s="110"/>
      <c r="Q34" s="110"/>
      <c r="R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c r="C36" s="15"/>
      <c r="D36" s="15"/>
      <c r="E36" s="535"/>
      <c r="H36" s="12"/>
      <c r="I36" s="12"/>
      <c r="J36" s="110"/>
      <c r="K36" s="110"/>
      <c r="L36" s="110"/>
      <c r="M36" s="12"/>
      <c r="P36" s="110"/>
      <c r="Q36" s="110"/>
      <c r="R36" s="110"/>
      <c r="S36" s="12"/>
      <c r="U36" s="25"/>
      <c r="V36" s="12"/>
    </row>
    <row r="37" spans="2:22">
      <c r="B37" s="16"/>
      <c r="C37" s="15"/>
      <c r="D37" s="15"/>
      <c r="E37" s="535"/>
      <c r="J37" s="39"/>
      <c r="K37" s="39"/>
      <c r="P37" s="39"/>
      <c r="Q37" s="39"/>
      <c r="R37" s="39"/>
      <c r="U37" s="25"/>
    </row>
    <row r="38" spans="2:22">
      <c r="B38" s="16"/>
      <c r="C38" s="15"/>
      <c r="D38" s="15"/>
      <c r="E38" s="535"/>
      <c r="J38" s="39"/>
      <c r="K38" s="39"/>
      <c r="P38" s="39"/>
      <c r="Q38" s="39"/>
      <c r="R38" s="39"/>
      <c r="U38" s="25"/>
    </row>
    <row r="39" spans="2:22">
      <c r="E39" s="110"/>
      <c r="J39" s="39"/>
      <c r="K39" s="39"/>
      <c r="P39" s="39"/>
      <c r="Q39" s="39"/>
      <c r="R39" s="39"/>
    </row>
    <row r="40" spans="2:22">
      <c r="E40" s="110"/>
      <c r="J40" s="39"/>
      <c r="K40" s="39"/>
      <c r="P40" s="39"/>
      <c r="Q40" s="39"/>
      <c r="R40" s="39"/>
    </row>
    <row r="41" spans="2:22">
      <c r="E41" s="110"/>
      <c r="J41" s="39"/>
      <c r="K41" s="39"/>
      <c r="P41" s="39"/>
      <c r="Q41" s="39"/>
      <c r="R41" s="39"/>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J122" s="39"/>
      <c r="K122" s="39"/>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E147" s="110"/>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row r="189" spans="16:18">
      <c r="P189" s="39"/>
      <c r="Q189" s="39"/>
      <c r="R189" s="39"/>
    </row>
  </sheetData>
  <customSheetViews>
    <customSheetView guid="{43B6AE9C-E429-4506-98F3-C388B54AB8B6}" showGridLines="0">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1" xr:uid="{E41D34F5-7F8E-451D-A63E-ABB77568F97C}">
      <formula1>Flow_units</formula1>
    </dataValidation>
    <dataValidation type="custom" allowBlank="1" showInputMessage="1" showErrorMessage="1" error="Please do not change this formula" prompt="Please do not change this formula" sqref="T4 S6:S1048576 L1:L1048576 M4 S1:S4 N1:O4 N6:O1048576 N5:S5" xr:uid="{3D9F2831-AC29-4622-B82C-5C95C71864D8}">
      <formula1>"Please do not change this formula"</formula1>
    </dataValidation>
  </dataValidations>
  <hyperlinks>
    <hyperlink ref="I2:J2" location="'Waste Transport'!A1" display="Go to the next step of this pathway" xr:uid="{9EB336B3-183F-4FAD-90D3-25D506554077}"/>
    <hyperlink ref="I2:K2" location="Waste_Transport!A1" display="Go to the next step of this pathway" xr:uid="{DEFB3908-7A34-4695-82BD-31CFA12B9A6E}"/>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2" id="{AF37E2D2-0CDF-4756-8759-AB727E55ADFF}">
            <xm:f>AND(Initial_questions!$E$21&lt;&gt;"Waste Gasification with CCS",Initial_questions!$E$21&lt;&gt;"Waste Gasification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11" id="{EDA1066A-E1BE-45AA-AF4A-3ECF1EBD67A2}">
            <xm:f>AND(OR(GHG_WASTE_GASIFICATION!$D$5="Default",GHG_WASTE_GASIFICATION!$D$26="Default"),Master_Switch="On")</xm:f>
            <x14:dxf>
              <font>
                <color theme="0"/>
              </font>
              <fill>
                <patternFill>
                  <bgColor theme="0"/>
                </patternFill>
              </fill>
              <border>
                <left/>
                <right/>
                <top/>
                <bottom/>
              </border>
            </x14:dxf>
          </x14:cfRule>
          <xm:sqref>A4:XFD100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66708-80EF-4BDC-A44F-BE11839D89B1}">
  <sheetPr codeName="Sheet43">
    <tabColor theme="8" tint="0.59999389629810485"/>
  </sheetPr>
  <dimension ref="B1:W115"/>
  <sheetViews>
    <sheetView showGridLines="0" zoomScaleNormal="100" workbookViewId="0"/>
  </sheetViews>
  <sheetFormatPr defaultRowHeight="14.4"/>
  <sheetData>
    <row r="1" spans="2:23" ht="15" thickBot="1">
      <c r="B1" s="3" t="s">
        <v>712</v>
      </c>
      <c r="C1" s="3"/>
      <c r="D1" s="3"/>
    </row>
    <row r="2" spans="2:23" ht="15.6" thickTop="1" thickBot="1">
      <c r="B2" s="181" t="s">
        <v>713</v>
      </c>
      <c r="C2" s="181"/>
      <c r="D2" s="181"/>
      <c r="E2" s="181"/>
      <c r="F2" s="181"/>
      <c r="G2" s="181"/>
      <c r="H2" s="181"/>
    </row>
    <row r="4" spans="2:23">
      <c r="B4" s="30" t="s">
        <v>75</v>
      </c>
    </row>
    <row r="5" spans="2:23">
      <c r="B5" s="32"/>
      <c r="C5" s="582" t="s">
        <v>76</v>
      </c>
      <c r="D5" s="583"/>
      <c r="E5" s="583"/>
      <c r="F5" s="583"/>
      <c r="G5" s="583"/>
      <c r="H5" s="584"/>
    </row>
    <row r="6" spans="2:23">
      <c r="B6" s="185"/>
      <c r="C6" s="582" t="s">
        <v>77</v>
      </c>
      <c r="D6" s="583"/>
      <c r="E6" s="583"/>
      <c r="F6" s="583"/>
      <c r="G6" s="583"/>
      <c r="H6" s="584"/>
    </row>
    <row r="7" spans="2:23">
      <c r="B7" s="60"/>
      <c r="C7" s="582" t="s">
        <v>78</v>
      </c>
      <c r="D7" s="583"/>
      <c r="E7" s="583"/>
      <c r="F7" s="583"/>
      <c r="G7" s="583"/>
      <c r="H7" s="584"/>
    </row>
    <row r="8" spans="2:23">
      <c r="D8" s="182"/>
      <c r="E8" s="182"/>
      <c r="F8" s="182"/>
      <c r="G8" s="182"/>
      <c r="H8" s="182"/>
    </row>
    <row r="9" spans="2:23" ht="15" thickBot="1">
      <c r="B9" s="180" t="s">
        <v>87</v>
      </c>
      <c r="C9" s="180"/>
      <c r="D9" s="180"/>
      <c r="E9" s="182"/>
    </row>
    <row r="10" spans="2:23" ht="15" thickTop="1"/>
    <row r="11" spans="2:23" ht="30.6" customHeight="1">
      <c r="B11" s="589" t="s">
        <v>88</v>
      </c>
      <c r="C11" s="589"/>
      <c r="D11" s="589"/>
      <c r="E11" s="589"/>
      <c r="F11" s="589"/>
      <c r="G11" s="589"/>
      <c r="H11" s="589"/>
      <c r="I11" s="589"/>
      <c r="J11" s="589"/>
      <c r="K11" s="589"/>
      <c r="L11" s="589"/>
      <c r="M11" s="589"/>
      <c r="N11" s="589"/>
      <c r="O11" s="589"/>
      <c r="P11" s="589"/>
      <c r="Q11" s="589"/>
      <c r="R11" s="589"/>
      <c r="S11" s="589"/>
      <c r="T11" s="589"/>
      <c r="U11" s="589"/>
      <c r="V11" s="589"/>
      <c r="W11" s="589"/>
    </row>
    <row r="37" spans="2:23" ht="105" customHeight="1">
      <c r="B37" s="589" t="s">
        <v>89</v>
      </c>
      <c r="C37" s="589"/>
      <c r="D37" s="589"/>
      <c r="E37" s="589"/>
      <c r="F37" s="589"/>
      <c r="G37" s="589"/>
      <c r="H37" s="589"/>
      <c r="I37" s="589"/>
      <c r="J37" s="589"/>
      <c r="K37" s="589"/>
      <c r="L37" s="589"/>
      <c r="M37" s="589"/>
      <c r="N37" s="589"/>
      <c r="O37" s="589"/>
      <c r="P37" s="589"/>
      <c r="Q37" s="589"/>
      <c r="R37" s="589"/>
      <c r="S37" s="589"/>
      <c r="T37" s="589"/>
      <c r="U37" s="589"/>
      <c r="V37" s="589"/>
      <c r="W37" s="589"/>
    </row>
    <row r="41" spans="2:23" ht="15" thickBot="1">
      <c r="B41" s="180" t="s">
        <v>90</v>
      </c>
      <c r="C41" s="180"/>
    </row>
    <row r="42" spans="2:23" ht="15" thickTop="1"/>
    <row r="58" spans="2:3" ht="15" thickBot="1">
      <c r="B58" s="180" t="s">
        <v>91</v>
      </c>
      <c r="C58" s="180"/>
    </row>
    <row r="59" spans="2:3" ht="15" thickTop="1"/>
    <row r="73" spans="2:23" ht="16.2" thickBot="1">
      <c r="B73" s="180" t="s">
        <v>92</v>
      </c>
      <c r="C73" s="180"/>
      <c r="D73" s="180"/>
      <c r="E73" s="180"/>
      <c r="F73" s="180"/>
      <c r="G73" s="180"/>
      <c r="H73" s="180"/>
      <c r="I73" s="180"/>
      <c r="J73" s="180"/>
    </row>
    <row r="74" spans="2:23" ht="15" thickTop="1"/>
    <row r="75" spans="2:23">
      <c r="B75" s="589" t="s">
        <v>716</v>
      </c>
      <c r="C75" s="589"/>
      <c r="D75" s="589"/>
      <c r="E75" s="589"/>
      <c r="F75" s="589"/>
      <c r="G75" s="589"/>
      <c r="H75" s="589"/>
      <c r="I75" s="589"/>
      <c r="J75" s="589"/>
      <c r="K75" s="589"/>
      <c r="L75" s="589"/>
      <c r="M75" s="589"/>
      <c r="N75" s="589"/>
      <c r="O75" s="589"/>
      <c r="P75" s="589"/>
      <c r="Q75" s="589"/>
      <c r="R75" s="589"/>
      <c r="S75" s="589"/>
      <c r="T75" s="589"/>
      <c r="U75" s="589"/>
      <c r="V75" s="589"/>
      <c r="W75" s="589"/>
    </row>
    <row r="101" spans="2:5" ht="16.2" thickBot="1">
      <c r="B101" s="180" t="s">
        <v>93</v>
      </c>
      <c r="C101" s="180"/>
      <c r="D101" s="180"/>
      <c r="E101" s="180"/>
    </row>
    <row r="102" spans="2:5" ht="15" thickTop="1"/>
    <row r="114" spans="2:3" ht="15" thickBot="1">
      <c r="B114" s="180" t="s">
        <v>94</v>
      </c>
      <c r="C114" s="180"/>
    </row>
    <row r="115" spans="2:3" ht="15" thickTop="1"/>
  </sheetData>
  <customSheetViews>
    <customSheetView guid="{43B6AE9C-E429-4506-98F3-C388B54AB8B6}" showGridLines="0">
      <selection activeCell="D1" sqref="D1"/>
      <pageMargins left="0" right="0" top="0" bottom="0" header="0" footer="0"/>
    </customSheetView>
    <customSheetView guid="{D41C0D8C-591E-4B34-99B3-B45BA51A58EC}" showGridLines="0">
      <selection activeCell="D1" sqref="D1"/>
      <pageMargins left="0" right="0" top="0" bottom="0" header="0" footer="0"/>
    </customSheetView>
    <customSheetView guid="{8F590910-6C03-4233-9C41-6540BF2DE453}" showGridLines="0">
      <selection activeCell="D1" sqref="D1"/>
      <pageMargins left="0" right="0" top="0" bottom="0" header="0" footer="0"/>
    </customSheetView>
    <customSheetView guid="{55CEC4CC-9BBF-4F2D-BA17-E94F4B26FAC5}" showGridLines="0">
      <selection activeCell="D1" sqref="D1"/>
      <pageMargins left="0" right="0" top="0" bottom="0" header="0" footer="0"/>
    </customSheetView>
    <customSheetView guid="{7735C88E-3A13-4DCF-BB32-4D20A306A8BB}" showGridLines="0">
      <selection activeCell="D1" sqref="D1"/>
      <pageMargins left="0" right="0" top="0" bottom="0" header="0" footer="0"/>
    </customSheetView>
    <customSheetView guid="{27B9E3C6-8189-41E0-896B-02A30393FDC0}" showGridLines="0">
      <selection activeCell="D1" sqref="D1"/>
      <pageMargins left="0" right="0" top="0" bottom="0" header="0" footer="0"/>
    </customSheetView>
    <customSheetView guid="{ED9AC919-98EB-43A3-A158-23FD7D007D30}" showGridLines="0">
      <selection activeCell="D1" sqref="D1"/>
      <pageMargins left="0" right="0" top="0" bottom="0" header="0" footer="0"/>
    </customSheetView>
  </customSheetViews>
  <mergeCells count="6">
    <mergeCell ref="B75:W75"/>
    <mergeCell ref="C6:H6"/>
    <mergeCell ref="C7:H7"/>
    <mergeCell ref="C5:H5"/>
    <mergeCell ref="B11:W11"/>
    <mergeCell ref="B37:W37"/>
  </mergeCells>
  <pageMargins left="0" right="0" top="0" bottom="0" header="0" footer="0"/>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B8419-7D59-454F-AF78-3902E145B950}">
  <sheetPr codeName="Sheet35">
    <tabColor theme="7" tint="0.59999389629810485"/>
  </sheetPr>
  <dimension ref="A1:Z188"/>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IF(AND(Initial_questions!$E$21&lt;&gt;"Waste Gasification with CCS",Initial_questions!$E$21&lt;&gt;"Waste Gasification without CCS",Master_Switch="On"),"User should not fill in this sheet, but switch to other non-blank GHG worksheets","")</f>
        <v>User should not fill in this sheet, but switch to other non-blank GHG worksheets</v>
      </c>
      <c r="E1" s="262"/>
    </row>
    <row r="2" spans="1:26" ht="20.399999999999999" customHeight="1">
      <c r="B2" s="83" t="str">
        <f>IF(AND(OR(GHG_WASTE_GASIFICATION!$D$5="Default",GHG_WASTE_GASIFICATION!$D$26="Default"),Master_Switch="On"),"Default data selected for this module, move to the next step of the pathway","")</f>
        <v/>
      </c>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684</v>
      </c>
      <c r="D8" s="183" t="s">
        <v>582</v>
      </c>
      <c r="E8" s="35"/>
      <c r="F8" s="24"/>
      <c r="G8" s="21"/>
      <c r="H8" s="20"/>
      <c r="I8" s="20"/>
      <c r="J8" s="307"/>
      <c r="K8" s="309"/>
      <c r="L8" s="247">
        <f t="shared" ref="L8:L17" si="0">IF($D8="MWh/yr (LHV)",$E8,$J8*$E8/Conversion_kWh_to_MJ)</f>
        <v>0</v>
      </c>
      <c r="M8" s="12"/>
      <c r="P8" s="110"/>
      <c r="Q8" s="110"/>
      <c r="R8" s="110"/>
      <c r="S8" s="12"/>
      <c r="U8" s="24"/>
      <c r="V8" s="12"/>
    </row>
    <row r="9" spans="1:26">
      <c r="B9" s="190" t="s">
        <v>592</v>
      </c>
      <c r="C9" s="188" t="s">
        <v>646</v>
      </c>
      <c r="D9" s="183" t="s">
        <v>747</v>
      </c>
      <c r="E9" s="35"/>
      <c r="F9" s="21"/>
      <c r="G9" s="21"/>
      <c r="H9" s="20"/>
      <c r="I9" s="36"/>
      <c r="J9" s="307"/>
      <c r="K9" s="309"/>
      <c r="L9" s="247">
        <f t="shared" si="0"/>
        <v>0</v>
      </c>
      <c r="M9" s="12"/>
      <c r="P9" s="35" t="str">
        <f t="shared" ref="P9:P17" si="1">IF(B9="", "", IF(D9="MWh/yr (LHV)", "Use column to right", "Enter data here"))</f>
        <v>Use column to right</v>
      </c>
      <c r="Q9" s="35" t="e">
        <f>INDEX(Assumptions!$F$5:$AJ$5,1,MATCH(Initial_questions!$E$24,Assumptions!$F$4:$AJ$4,0))*1000/Conversion_kWh_to_MJ</f>
        <v>#N/A</v>
      </c>
      <c r="R9" s="35" t="s">
        <v>896</v>
      </c>
      <c r="S9" s="247" t="str">
        <f t="shared" ref="S9:S17" si="2">IFERROR(IF(D9="tonnes/yr", $P9*$E9/($L$20*3.6), $Q9*$E9*3.6/($L$20*3.6)), "Unfilled fields to left")</f>
        <v>Unfilled fields to left</v>
      </c>
      <c r="U9" s="25"/>
      <c r="V9" s="12"/>
    </row>
    <row r="10" spans="1:26">
      <c r="B10" s="190" t="s">
        <v>592</v>
      </c>
      <c r="C10" s="188"/>
      <c r="D10" s="183"/>
      <c r="E10" s="35"/>
      <c r="F10" s="21"/>
      <c r="G10" s="21"/>
      <c r="H10" s="20"/>
      <c r="I10" s="36"/>
      <c r="J10" s="307"/>
      <c r="K10" s="309"/>
      <c r="L10" s="247">
        <f t="shared" si="0"/>
        <v>0</v>
      </c>
      <c r="M10" s="12"/>
      <c r="P10" s="35" t="str">
        <f t="shared" si="1"/>
        <v>Enter data here</v>
      </c>
      <c r="Q10" s="35" t="str">
        <f t="shared" ref="Q10:Q17" si="3">IF(B10="", "", IF(D10="MWh/yr (LHV)", "Enter data here", "Use column to left"))</f>
        <v>Use column to left</v>
      </c>
      <c r="R10" s="35" t="s">
        <v>898</v>
      </c>
      <c r="S10" s="247" t="str">
        <f t="shared" si="2"/>
        <v>Unfilled fields to left</v>
      </c>
      <c r="U10" s="25"/>
      <c r="V10" s="12"/>
    </row>
    <row r="11" spans="1:26">
      <c r="B11" s="190" t="s">
        <v>599</v>
      </c>
      <c r="C11" s="188" t="s">
        <v>600</v>
      </c>
      <c r="D11" s="183" t="s">
        <v>582</v>
      </c>
      <c r="E11" s="35"/>
      <c r="F11" s="24"/>
      <c r="G11" s="21"/>
      <c r="H11" s="20"/>
      <c r="I11" s="36"/>
      <c r="J11" s="307"/>
      <c r="K11" s="309"/>
      <c r="L11" s="247">
        <f t="shared" si="0"/>
        <v>0</v>
      </c>
      <c r="M11" s="12"/>
      <c r="P11" s="35" t="str">
        <f t="shared" si="1"/>
        <v>Enter data here</v>
      </c>
      <c r="Q11" s="35" t="str">
        <f t="shared" si="3"/>
        <v>Use column to left</v>
      </c>
      <c r="R11" s="35" t="s">
        <v>898</v>
      </c>
      <c r="S11" s="247" t="str">
        <f t="shared" si="2"/>
        <v>Unfilled fields to left</v>
      </c>
      <c r="T11" s="94"/>
      <c r="U11" s="25"/>
      <c r="V11" s="12"/>
    </row>
    <row r="12" spans="1:26">
      <c r="B12" s="190" t="s">
        <v>599</v>
      </c>
      <c r="C12" s="188" t="s">
        <v>601</v>
      </c>
      <c r="D12" s="183" t="s">
        <v>582</v>
      </c>
      <c r="E12" s="35"/>
      <c r="F12" s="21"/>
      <c r="G12" s="21"/>
      <c r="H12" s="20"/>
      <c r="I12" s="36"/>
      <c r="J12" s="307"/>
      <c r="K12" s="309"/>
      <c r="L12" s="247">
        <f t="shared" si="0"/>
        <v>0</v>
      </c>
      <c r="M12" s="12"/>
      <c r="P12" s="35" t="str">
        <f t="shared" si="1"/>
        <v>Enter data here</v>
      </c>
      <c r="Q12" s="35" t="str">
        <f t="shared" si="3"/>
        <v>Use column to left</v>
      </c>
      <c r="R12" s="35" t="s">
        <v>898</v>
      </c>
      <c r="S12" s="247" t="str">
        <f t="shared" si="2"/>
        <v>Unfilled fields to left</v>
      </c>
      <c r="U12" s="25"/>
      <c r="V12" s="12"/>
    </row>
    <row r="13" spans="1:26">
      <c r="B13" s="190" t="s">
        <v>605</v>
      </c>
      <c r="C13" s="188" t="s">
        <v>607</v>
      </c>
      <c r="D13" s="183" t="s">
        <v>582</v>
      </c>
      <c r="E13" s="35"/>
      <c r="F13" s="21"/>
      <c r="G13" s="21"/>
      <c r="H13" s="20"/>
      <c r="I13" s="36"/>
      <c r="J13" s="307"/>
      <c r="K13" s="309"/>
      <c r="L13" s="247">
        <f t="shared" si="0"/>
        <v>0</v>
      </c>
      <c r="M13" s="12"/>
      <c r="P13" s="35" t="str">
        <f t="shared" si="1"/>
        <v>Enter data here</v>
      </c>
      <c r="Q13" s="35" t="str">
        <f t="shared" si="3"/>
        <v>Use column to left</v>
      </c>
      <c r="R13" s="35" t="s">
        <v>898</v>
      </c>
      <c r="S13" s="247" t="str">
        <f t="shared" si="2"/>
        <v>Unfilled fields to left</v>
      </c>
      <c r="U13" s="25"/>
      <c r="V13" s="12"/>
    </row>
    <row r="14" spans="1:26">
      <c r="B14" s="190" t="s">
        <v>605</v>
      </c>
      <c r="C14" s="188" t="s">
        <v>635</v>
      </c>
      <c r="D14" s="183" t="s">
        <v>582</v>
      </c>
      <c r="E14" s="35"/>
      <c r="F14" s="21"/>
      <c r="G14" s="21"/>
      <c r="H14" s="20"/>
      <c r="I14" s="36"/>
      <c r="J14" s="307"/>
      <c r="K14" s="309"/>
      <c r="L14" s="247">
        <f t="shared" si="0"/>
        <v>0</v>
      </c>
      <c r="M14" s="12"/>
      <c r="P14" s="35" t="str">
        <f t="shared" si="1"/>
        <v>Enter data here</v>
      </c>
      <c r="Q14" s="35" t="str">
        <f t="shared" si="3"/>
        <v>Use column to left</v>
      </c>
      <c r="R14" s="35" t="s">
        <v>898</v>
      </c>
      <c r="S14" s="247" t="str">
        <f t="shared" si="2"/>
        <v>Unfilled fields to left</v>
      </c>
      <c r="U14" s="25"/>
      <c r="V14" s="12"/>
    </row>
    <row r="15" spans="1:26">
      <c r="B15" s="190" t="s">
        <v>657</v>
      </c>
      <c r="C15" s="188" t="s">
        <v>609</v>
      </c>
      <c r="D15" s="183" t="s">
        <v>582</v>
      </c>
      <c r="E15" s="35"/>
      <c r="F15" s="21"/>
      <c r="G15" s="21"/>
      <c r="H15" s="20"/>
      <c r="I15" s="36"/>
      <c r="J15" s="307"/>
      <c r="K15" s="309"/>
      <c r="L15" s="247">
        <f t="shared" si="0"/>
        <v>0</v>
      </c>
      <c r="M15" s="12"/>
      <c r="P15" s="35" t="str">
        <f t="shared" si="1"/>
        <v>Enter data here</v>
      </c>
      <c r="Q15" s="35" t="str">
        <f t="shared" si="3"/>
        <v>Use column to left</v>
      </c>
      <c r="R15" s="35" t="s">
        <v>898</v>
      </c>
      <c r="S15" s="247" t="str">
        <f t="shared" si="2"/>
        <v>Unfilled fields to left</v>
      </c>
      <c r="U15" s="25"/>
      <c r="V15" s="12"/>
    </row>
    <row r="16" spans="1:26">
      <c r="B16" s="190" t="s">
        <v>657</v>
      </c>
      <c r="C16" s="188" t="s">
        <v>677</v>
      </c>
      <c r="D16" s="183" t="s">
        <v>582</v>
      </c>
      <c r="E16" s="35"/>
      <c r="F16" s="21"/>
      <c r="G16" s="21"/>
      <c r="H16" s="20"/>
      <c r="I16" s="36"/>
      <c r="J16" s="307"/>
      <c r="K16" s="309"/>
      <c r="L16" s="247">
        <f t="shared" si="0"/>
        <v>0</v>
      </c>
      <c r="M16" s="12"/>
      <c r="P16" s="35" t="str">
        <f t="shared" si="1"/>
        <v>Enter data here</v>
      </c>
      <c r="Q16" s="35" t="str">
        <f t="shared" si="3"/>
        <v>Use column to left</v>
      </c>
      <c r="R16" s="35" t="s">
        <v>898</v>
      </c>
      <c r="S16" s="247" t="str">
        <f t="shared" si="2"/>
        <v>Unfilled fields to left</v>
      </c>
      <c r="U16" s="25"/>
      <c r="V16" s="12"/>
    </row>
    <row r="17" spans="2:26">
      <c r="B17" s="16"/>
      <c r="C17" s="15"/>
      <c r="D17" s="183"/>
      <c r="E17" s="35"/>
      <c r="F17" s="21"/>
      <c r="G17" s="21"/>
      <c r="H17" s="20"/>
      <c r="I17" s="36"/>
      <c r="J17" s="307"/>
      <c r="K17" s="309"/>
      <c r="L17" s="247">
        <f t="shared" si="0"/>
        <v>0</v>
      </c>
      <c r="M17" s="12"/>
      <c r="P17" s="35" t="str">
        <f t="shared" si="1"/>
        <v/>
      </c>
      <c r="Q17" s="35" t="str">
        <f t="shared" si="3"/>
        <v/>
      </c>
      <c r="R17" s="35"/>
      <c r="S17" s="247" t="str">
        <f t="shared" si="2"/>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684</v>
      </c>
      <c r="D20" s="183" t="s">
        <v>582</v>
      </c>
      <c r="E20" s="35"/>
      <c r="F20" s="21"/>
      <c r="G20" s="21"/>
      <c r="H20" s="21"/>
      <c r="I20" s="21"/>
      <c r="J20" s="307"/>
      <c r="K20" s="313"/>
      <c r="L20" s="247">
        <f t="shared" ref="L20:L31" si="4">IF($D20="MWh/yr (LHV)",$E20,$J20*$E20/Conversion_kWh_to_MJ)</f>
        <v>0</v>
      </c>
      <c r="N20" s="251" t="str">
        <f>IFERROR(L20/L8,"")</f>
        <v/>
      </c>
      <c r="O20" s="250" t="str">
        <f>IFERROR(L20/(SUM($L$20:$L$22)),"")</f>
        <v/>
      </c>
      <c r="P20" s="42"/>
      <c r="Q20" s="42"/>
      <c r="R20" s="42"/>
      <c r="S20" s="42"/>
      <c r="U20" s="21"/>
      <c r="V20" s="12"/>
    </row>
    <row r="21" spans="2:26" s="14" customFormat="1">
      <c r="B21" s="190" t="s">
        <v>583</v>
      </c>
      <c r="C21" s="188" t="s">
        <v>804</v>
      </c>
      <c r="D21" s="183" t="s">
        <v>582</v>
      </c>
      <c r="E21" s="35"/>
      <c r="F21" s="21"/>
      <c r="G21" s="21"/>
      <c r="H21" s="20"/>
      <c r="I21" s="33"/>
      <c r="J21" s="307"/>
      <c r="K21" s="309"/>
      <c r="L21" s="247">
        <f t="shared" si="4"/>
        <v>0</v>
      </c>
      <c r="M21" s="12"/>
      <c r="N21" s="12"/>
      <c r="O21" s="250" t="str">
        <f t="shared" ref="O21:O22" si="5">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4"/>
        <v>0</v>
      </c>
      <c r="M22" s="12"/>
      <c r="N22" s="12"/>
      <c r="O22" s="250" t="str">
        <f t="shared" si="5"/>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4"/>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4"/>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4"/>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4"/>
        <v>0</v>
      </c>
      <c r="M26" s="12"/>
      <c r="N26" s="12"/>
      <c r="O26" s="12"/>
      <c r="P26" s="110"/>
      <c r="Q26" s="110"/>
      <c r="R26" s="110"/>
      <c r="S26" s="12"/>
      <c r="U26" s="21"/>
    </row>
    <row r="27" spans="2:26" s="14" customFormat="1">
      <c r="B27" s="190" t="s">
        <v>611</v>
      </c>
      <c r="C27" s="188" t="s">
        <v>820</v>
      </c>
      <c r="D27" s="183" t="s">
        <v>582</v>
      </c>
      <c r="E27" s="35"/>
      <c r="F27" s="34"/>
      <c r="G27" s="21"/>
      <c r="H27" s="20"/>
      <c r="I27" s="36"/>
      <c r="J27" s="307"/>
      <c r="K27" s="309"/>
      <c r="L27" s="247">
        <f t="shared" si="4"/>
        <v>0</v>
      </c>
      <c r="M27" s="12"/>
      <c r="N27" s="12"/>
      <c r="O27" s="12"/>
      <c r="P27" s="35">
        <v>1000</v>
      </c>
      <c r="Q27" s="546"/>
      <c r="R27" s="35" t="s">
        <v>821</v>
      </c>
      <c r="S27" s="247"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4"/>
        <v>0</v>
      </c>
      <c r="M28" s="12"/>
      <c r="N28" s="12"/>
      <c r="O28" s="12"/>
      <c r="P28" s="35">
        <v>28000</v>
      </c>
      <c r="Q28" s="546"/>
      <c r="R28" s="35" t="s">
        <v>651</v>
      </c>
      <c r="S28" s="247" t="str">
        <f>IFERROR(IF(D28="tonnes/yr", $P28*$E28/($L$20*3.6), $Q28*$E28*3.6/($L$20*3.6)), "Unfilled fields to left")</f>
        <v>Unfilled fields to left</v>
      </c>
      <c r="U28" s="21"/>
    </row>
    <row r="29" spans="2:26" s="14" customFormat="1">
      <c r="B29" s="190" t="s">
        <v>640</v>
      </c>
      <c r="C29" s="188" t="s">
        <v>824</v>
      </c>
      <c r="D29" s="183" t="s">
        <v>582</v>
      </c>
      <c r="E29" s="35"/>
      <c r="F29" s="21"/>
      <c r="G29" s="21"/>
      <c r="H29" s="20"/>
      <c r="I29" s="36"/>
      <c r="J29" s="307"/>
      <c r="K29" s="309"/>
      <c r="L29" s="247">
        <f t="shared" si="4"/>
        <v>0</v>
      </c>
      <c r="M29" s="12"/>
      <c r="N29" s="12"/>
      <c r="O29" s="12"/>
      <c r="P29" s="35">
        <v>265000</v>
      </c>
      <c r="Q29" s="546"/>
      <c r="R29" s="35" t="s">
        <v>651</v>
      </c>
      <c r="S29" s="247"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4"/>
        <v>0</v>
      </c>
      <c r="M30" s="12"/>
      <c r="N30" s="12"/>
      <c r="O30" s="12"/>
      <c r="P30" s="307"/>
      <c r="Q30" s="505"/>
      <c r="R30" s="309"/>
      <c r="S30" s="247" t="str">
        <f>IFERROR(IF(D30="tonnes/yr", $P30*$E30/($L$20*3.6), $Q30*$E30*3.6/($L$20*3.6)), "Unfilled fields to left")</f>
        <v>Unfilled fields to left</v>
      </c>
      <c r="U30" s="21"/>
    </row>
    <row r="31" spans="2:26" s="14" customFormat="1">
      <c r="B31" s="16"/>
      <c r="C31" s="15"/>
      <c r="D31" s="183"/>
      <c r="E31" s="35"/>
      <c r="F31" s="21"/>
      <c r="G31" s="21"/>
      <c r="H31" s="20"/>
      <c r="I31" s="36"/>
      <c r="J31" s="307"/>
      <c r="K31" s="309"/>
      <c r="L31" s="247">
        <f t="shared" si="4"/>
        <v>0</v>
      </c>
      <c r="M31" s="12"/>
      <c r="N31" s="12"/>
      <c r="O31" s="12"/>
      <c r="P31" s="307"/>
      <c r="Q31" s="505"/>
      <c r="R31" s="309"/>
      <c r="S31" s="247"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40"/>
      <c r="V32" s="12"/>
    </row>
    <row r="33" spans="2:22">
      <c r="D33" s="17"/>
      <c r="E33" s="144"/>
      <c r="J33" s="39"/>
      <c r="K33" s="39"/>
      <c r="M33" s="12"/>
      <c r="P33" s="39"/>
      <c r="Q33" s="39"/>
      <c r="R33" s="38" t="s">
        <v>641</v>
      </c>
      <c r="S33" s="157">
        <f>SUM(S7:S32)</f>
        <v>0</v>
      </c>
      <c r="V33" s="12"/>
    </row>
    <row r="34" spans="2:22">
      <c r="B34" s="149" t="s">
        <v>94</v>
      </c>
      <c r="C34" s="163"/>
      <c r="D34" s="163"/>
      <c r="E34" s="527"/>
      <c r="I34" s="12"/>
      <c r="J34" s="110"/>
      <c r="K34" s="110"/>
      <c r="L34" s="110"/>
      <c r="M34" s="12"/>
      <c r="P34" s="110"/>
      <c r="Q34" s="110"/>
      <c r="R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t="s">
        <v>709</v>
      </c>
      <c r="C36" s="15" t="s">
        <v>710</v>
      </c>
      <c r="D36" s="15" t="s">
        <v>222</v>
      </c>
      <c r="E36" s="529"/>
      <c r="H36" s="12"/>
      <c r="I36" s="12"/>
      <c r="J36" s="110"/>
      <c r="K36" s="110"/>
      <c r="L36" s="110"/>
      <c r="M36" s="12"/>
      <c r="P36" s="110"/>
      <c r="Q36" s="110"/>
      <c r="R36" s="110"/>
      <c r="S36" s="12"/>
      <c r="U36" s="25"/>
      <c r="V36" s="12"/>
    </row>
    <row r="37" spans="2:22">
      <c r="B37" s="16"/>
      <c r="C37" s="15"/>
      <c r="D37" s="15"/>
      <c r="E37" s="535"/>
      <c r="J37" s="39"/>
      <c r="K37" s="39"/>
      <c r="P37" s="39"/>
      <c r="Q37" s="39"/>
      <c r="R37" s="39"/>
      <c r="U37" s="25"/>
    </row>
    <row r="38" spans="2:22">
      <c r="B38" s="16"/>
      <c r="C38" s="15"/>
      <c r="D38" s="15"/>
      <c r="E38" s="535"/>
      <c r="J38" s="39"/>
      <c r="K38" s="39"/>
      <c r="P38" s="39"/>
      <c r="Q38" s="39"/>
      <c r="R38" s="39"/>
      <c r="U38" s="25"/>
    </row>
    <row r="39" spans="2:22">
      <c r="E39" s="110"/>
      <c r="J39" s="39"/>
      <c r="K39" s="39"/>
      <c r="P39" s="39"/>
      <c r="Q39" s="39"/>
      <c r="R39" s="39"/>
    </row>
    <row r="40" spans="2:22">
      <c r="E40" s="110"/>
      <c r="J40" s="39"/>
      <c r="K40" s="39"/>
      <c r="P40" s="39"/>
      <c r="Q40" s="39"/>
      <c r="R40" s="39"/>
    </row>
    <row r="41" spans="2:22">
      <c r="E41" s="110"/>
      <c r="J41" s="39"/>
      <c r="K41" s="39"/>
      <c r="P41" s="39"/>
      <c r="Q41" s="39"/>
      <c r="R41" s="39"/>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sheetData>
  <customSheetViews>
    <customSheetView guid="{43B6AE9C-E429-4506-98F3-C388B54AB8B6}" showGridLines="0">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1" xr:uid="{35286FBF-9E60-40D1-8C11-64AFE59AF997}">
      <formula1>Flow_units</formula1>
    </dataValidation>
    <dataValidation type="custom" allowBlank="1" showInputMessage="1" showErrorMessage="1" error="Please do not change this formula" prompt="Please do not change this formula" sqref="L1:L1048576 S6:S1048576 T4 M4 S1:S4 N1:O4 N6:O1048576 N5:S5" xr:uid="{69884190-28A8-4955-A4AF-1B71C516EF7D}">
      <formula1>"Please do not change this formula"</formula1>
    </dataValidation>
  </dataValidations>
  <hyperlinks>
    <hyperlink ref="I2:J2" location="'Waste Pre-Processing'!A1" display="Go to the next step of this pathway" xr:uid="{C197C49B-78EF-433B-9407-8CCE21CEFD9F}"/>
    <hyperlink ref="I2:K2" location="'Waste_Pre-Processing'!A1" display="Go to the next step of this pathway" xr:uid="{A810C962-7A66-4969-9246-E2DBBFC600C2}"/>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4" id="{5635584E-1502-43E1-86E0-8A6586A3A409}">
            <xm:f>AND(Initial_questions!$E$21&lt;&gt;"Waste Gasification with CCS",Initial_questions!$E$21&lt;&gt;"Waste Gasification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13" id="{834B994F-346F-47C4-9FEC-35036BBBEC2B}">
            <xm:f>AND(OR(GHG_WASTE_GASIFICATION!$D$5="Default",GHG_WASTE_GASIFICATION!$D$26="Default"),Master_Switch="On")</xm:f>
            <x14:dxf>
              <font>
                <color theme="0"/>
              </font>
              <fill>
                <patternFill>
                  <bgColor theme="0"/>
                </patternFill>
              </fill>
              <border>
                <left/>
                <right/>
                <top/>
                <bottom/>
              </border>
            </x14:dxf>
          </x14:cfRule>
          <xm:sqref>A4:XFD100</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93EB-951D-4037-83D4-26507FFF83F5}">
  <sheetPr codeName="Sheet36">
    <tabColor theme="7" tint="0.59999389629810485"/>
  </sheetPr>
  <dimension ref="A1:Z204"/>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IF(AND(Initial_questions!$E$21&lt;&gt;"Waste Gasification with CCS",Initial_questions!$E$21&lt;&gt;"Waste Gasification without CCS",Master_Switch="On"),"User should not fill in this sheet, but switch to other non-blank GHG worksheets","")</f>
        <v>User should not fill in this sheet, but switch to other non-blank GHG worksheets</v>
      </c>
      <c r="E1" s="262"/>
    </row>
    <row r="2" spans="1:26" ht="20.399999999999999" customHeight="1">
      <c r="B2" s="83" t="str">
        <f>IF(AND(OR(GHG_WASTE_GASIFICATION!$D$5="Default",GHG_WASTE_GASIFICATION!$D$26="Default"),Master_Switch="On"),"Default data selected for this module, move to the next step of the pathway","")</f>
        <v/>
      </c>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684</v>
      </c>
      <c r="D8" s="183" t="s">
        <v>582</v>
      </c>
      <c r="E8" s="35"/>
      <c r="F8" s="21"/>
      <c r="G8" s="21"/>
      <c r="H8" s="20"/>
      <c r="I8" s="20"/>
      <c r="J8" s="307"/>
      <c r="K8" s="309"/>
      <c r="L8" s="247">
        <f t="shared" ref="L8:L17" si="0">IF($D8="MWh/yr (LHV)",$E8,$J8*$E8/Conversion_kWh_to_MJ)</f>
        <v>0</v>
      </c>
      <c r="M8" s="12"/>
      <c r="P8" s="110"/>
      <c r="Q8" s="110"/>
      <c r="R8" s="110"/>
      <c r="S8" s="370" t="s">
        <v>596</v>
      </c>
      <c r="U8" s="24"/>
      <c r="V8" s="12"/>
    </row>
    <row r="9" spans="1:26">
      <c r="B9" s="190" t="s">
        <v>592</v>
      </c>
      <c r="C9" s="188" t="s">
        <v>680</v>
      </c>
      <c r="D9" s="183" t="s">
        <v>747</v>
      </c>
      <c r="E9" s="35"/>
      <c r="F9" s="21"/>
      <c r="G9" s="21"/>
      <c r="H9" s="20"/>
      <c r="I9" s="36"/>
      <c r="J9" s="307"/>
      <c r="K9" s="309"/>
      <c r="L9" s="247">
        <f t="shared" si="0"/>
        <v>0</v>
      </c>
      <c r="M9" s="12"/>
      <c r="P9" s="35" t="str">
        <f t="shared" ref="P9:P17" si="1">IF(B9="", "", IF(D9="MWh/yr (LHV)", "Use column to right", "Enter data here"))</f>
        <v>Use column to right</v>
      </c>
      <c r="Q9" s="35" t="e">
        <f>INDEX(Assumptions!$F$5:$AJ$5,1,MATCH(Initial_questions!$E$24,Assumptions!$F$4:$AJ$4,0))*1000/Conversion_kWh_to_MJ</f>
        <v>#N/A</v>
      </c>
      <c r="R9" s="35" t="s">
        <v>896</v>
      </c>
      <c r="S9" s="247" t="str">
        <f t="shared" ref="S9:S17" si="2">IFERROR(IF(D9="tonnes/yr", $P9*$E9/($L$20*3.6), $Q9*$E9*3.6/($L$20*3.6)), "Unfilled fields to left")</f>
        <v>Unfilled fields to left</v>
      </c>
      <c r="U9" s="25"/>
      <c r="V9" s="12"/>
    </row>
    <row r="10" spans="1:26">
      <c r="B10" s="190" t="s">
        <v>592</v>
      </c>
      <c r="C10" s="188" t="s">
        <v>613</v>
      </c>
      <c r="D10" s="183" t="s">
        <v>747</v>
      </c>
      <c r="E10" s="35"/>
      <c r="F10" s="21"/>
      <c r="G10" s="21"/>
      <c r="H10" s="20"/>
      <c r="I10" s="36"/>
      <c r="J10" s="307"/>
      <c r="K10" s="309"/>
      <c r="L10" s="247">
        <f t="shared" si="0"/>
        <v>0</v>
      </c>
      <c r="M10" s="12"/>
      <c r="P10" s="35" t="str">
        <f t="shared" ref="P10" si="3">IF(B10="", "", IF(D10="MWh/yr (LHV)", "Use column to right", "Enter data here"))</f>
        <v>Use column to right</v>
      </c>
      <c r="Q10" s="35" t="e">
        <f>INDEX(Assumptions!$F$5:$AJ$5,1,MATCH(Initial_questions!$E$24,Assumptions!$F$4:$AJ$4,0))*1000/Conversion_kWh_to_MJ</f>
        <v>#N/A</v>
      </c>
      <c r="R10" s="35" t="s">
        <v>896</v>
      </c>
      <c r="S10" s="247" t="str">
        <f t="shared" si="2"/>
        <v>Unfilled fields to left</v>
      </c>
      <c r="U10" s="25"/>
      <c r="V10" s="12"/>
    </row>
    <row r="11" spans="1:26">
      <c r="B11" s="190" t="s">
        <v>599</v>
      </c>
      <c r="C11" s="188" t="s">
        <v>600</v>
      </c>
      <c r="D11" s="183" t="s">
        <v>747</v>
      </c>
      <c r="E11" s="35"/>
      <c r="F11" s="21"/>
      <c r="G11" s="21"/>
      <c r="H11" s="20"/>
      <c r="I11" s="36"/>
      <c r="J11" s="307"/>
      <c r="K11" s="309"/>
      <c r="L11" s="247">
        <f t="shared" si="0"/>
        <v>0</v>
      </c>
      <c r="M11" s="12"/>
      <c r="P11" s="35" t="str">
        <f t="shared" si="1"/>
        <v>Use column to right</v>
      </c>
      <c r="Q11" s="35" t="str">
        <f t="shared" ref="Q11:Q17" si="4">IF(B11="", "", IF(D11="MWh/yr (LHV)", "Enter data here", "Use column to left"))</f>
        <v>Enter data here</v>
      </c>
      <c r="R11" s="35" t="s">
        <v>898</v>
      </c>
      <c r="S11" s="247" t="str">
        <f t="shared" si="2"/>
        <v>Unfilled fields to left</v>
      </c>
      <c r="U11" s="25"/>
      <c r="V11" s="12"/>
    </row>
    <row r="12" spans="1:26">
      <c r="B12" s="190" t="s">
        <v>599</v>
      </c>
      <c r="C12" s="188" t="s">
        <v>601</v>
      </c>
      <c r="D12" s="183" t="s">
        <v>582</v>
      </c>
      <c r="E12" s="35"/>
      <c r="F12" s="21"/>
      <c r="G12" s="21"/>
      <c r="H12" s="20"/>
      <c r="I12" s="36"/>
      <c r="J12" s="307"/>
      <c r="K12" s="309"/>
      <c r="L12" s="247">
        <f t="shared" si="0"/>
        <v>0</v>
      </c>
      <c r="M12" s="12"/>
      <c r="P12" s="35" t="str">
        <f t="shared" si="1"/>
        <v>Enter data here</v>
      </c>
      <c r="Q12" s="35" t="str">
        <f t="shared" si="4"/>
        <v>Use column to left</v>
      </c>
      <c r="R12" s="35" t="s">
        <v>898</v>
      </c>
      <c r="S12" s="247" t="str">
        <f t="shared" si="2"/>
        <v>Unfilled fields to left</v>
      </c>
      <c r="U12" s="25"/>
      <c r="V12" s="12"/>
    </row>
    <row r="13" spans="1:26">
      <c r="B13" s="190" t="s">
        <v>605</v>
      </c>
      <c r="C13" s="188" t="s">
        <v>607</v>
      </c>
      <c r="D13" s="183" t="s">
        <v>582</v>
      </c>
      <c r="E13" s="35"/>
      <c r="F13" s="21"/>
      <c r="G13" s="21"/>
      <c r="H13" s="20"/>
      <c r="I13" s="36"/>
      <c r="J13" s="307"/>
      <c r="K13" s="309"/>
      <c r="L13" s="247">
        <f t="shared" si="0"/>
        <v>0</v>
      </c>
      <c r="M13" s="12"/>
      <c r="P13" s="35" t="str">
        <f t="shared" si="1"/>
        <v>Enter data here</v>
      </c>
      <c r="Q13" s="35" t="str">
        <f t="shared" si="4"/>
        <v>Use column to left</v>
      </c>
      <c r="R13" s="35" t="s">
        <v>898</v>
      </c>
      <c r="S13" s="247" t="str">
        <f t="shared" si="2"/>
        <v>Unfilled fields to left</v>
      </c>
      <c r="U13" s="25"/>
      <c r="V13" s="12"/>
    </row>
    <row r="14" spans="1:26">
      <c r="B14" s="190" t="s">
        <v>605</v>
      </c>
      <c r="C14" s="188" t="s">
        <v>635</v>
      </c>
      <c r="D14" s="183" t="s">
        <v>582</v>
      </c>
      <c r="E14" s="35"/>
      <c r="F14" s="21"/>
      <c r="G14" s="21"/>
      <c r="H14" s="20"/>
      <c r="I14" s="36"/>
      <c r="J14" s="307"/>
      <c r="K14" s="309"/>
      <c r="L14" s="247">
        <f t="shared" si="0"/>
        <v>0</v>
      </c>
      <c r="M14" s="12"/>
      <c r="P14" s="35" t="str">
        <f t="shared" si="1"/>
        <v>Enter data here</v>
      </c>
      <c r="Q14" s="35" t="str">
        <f t="shared" si="4"/>
        <v>Use column to left</v>
      </c>
      <c r="R14" s="35" t="s">
        <v>898</v>
      </c>
      <c r="S14" s="247" t="str">
        <f t="shared" si="2"/>
        <v>Unfilled fields to left</v>
      </c>
      <c r="U14" s="25"/>
      <c r="V14" s="12"/>
    </row>
    <row r="15" spans="1:26">
      <c r="B15" s="190" t="s">
        <v>657</v>
      </c>
      <c r="C15" s="188" t="s">
        <v>609</v>
      </c>
      <c r="D15" s="183" t="s">
        <v>582</v>
      </c>
      <c r="E15" s="35"/>
      <c r="F15" s="21"/>
      <c r="G15" s="21"/>
      <c r="H15" s="20"/>
      <c r="I15" s="36"/>
      <c r="J15" s="307"/>
      <c r="K15" s="309"/>
      <c r="L15" s="247">
        <f t="shared" si="0"/>
        <v>0</v>
      </c>
      <c r="M15" s="12"/>
      <c r="P15" s="35" t="str">
        <f t="shared" si="1"/>
        <v>Enter data here</v>
      </c>
      <c r="Q15" s="35" t="str">
        <f t="shared" si="4"/>
        <v>Use column to left</v>
      </c>
      <c r="R15" s="35" t="s">
        <v>898</v>
      </c>
      <c r="S15" s="247" t="str">
        <f t="shared" si="2"/>
        <v>Unfilled fields to left</v>
      </c>
      <c r="U15" s="25"/>
      <c r="V15" s="12"/>
    </row>
    <row r="16" spans="1:26">
      <c r="B16" s="190" t="s">
        <v>657</v>
      </c>
      <c r="C16" s="188" t="s">
        <v>677</v>
      </c>
      <c r="D16" s="183" t="s">
        <v>582</v>
      </c>
      <c r="E16" s="35"/>
      <c r="F16" s="21"/>
      <c r="G16" s="21"/>
      <c r="H16" s="20"/>
      <c r="I16" s="36"/>
      <c r="J16" s="307"/>
      <c r="K16" s="309"/>
      <c r="L16" s="247">
        <f t="shared" si="0"/>
        <v>0</v>
      </c>
      <c r="M16" s="12"/>
      <c r="P16" s="35" t="str">
        <f t="shared" si="1"/>
        <v>Enter data here</v>
      </c>
      <c r="Q16" s="35" t="str">
        <f t="shared" si="4"/>
        <v>Use column to left</v>
      </c>
      <c r="R16" s="35" t="s">
        <v>898</v>
      </c>
      <c r="S16" s="247" t="str">
        <f t="shared" si="2"/>
        <v>Unfilled fields to left</v>
      </c>
      <c r="U16" s="25"/>
      <c r="V16" s="12"/>
    </row>
    <row r="17" spans="2:26">
      <c r="B17" s="16"/>
      <c r="C17" s="15"/>
      <c r="D17" s="183"/>
      <c r="E17" s="35"/>
      <c r="F17" s="21"/>
      <c r="G17" s="21"/>
      <c r="H17" s="20"/>
      <c r="I17" s="36"/>
      <c r="J17" s="307"/>
      <c r="K17" s="309"/>
      <c r="L17" s="247">
        <f t="shared" si="0"/>
        <v>0</v>
      </c>
      <c r="M17" s="12"/>
      <c r="P17" s="35" t="str">
        <f t="shared" si="1"/>
        <v/>
      </c>
      <c r="Q17" s="35" t="str">
        <f t="shared" si="4"/>
        <v/>
      </c>
      <c r="R17" s="35"/>
      <c r="S17" s="247" t="str">
        <f t="shared" si="2"/>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685</v>
      </c>
      <c r="D20" s="183" t="s">
        <v>582</v>
      </c>
      <c r="E20" s="35"/>
      <c r="F20" s="21"/>
      <c r="G20" s="21"/>
      <c r="H20" s="21"/>
      <c r="I20" s="21"/>
      <c r="J20" s="307"/>
      <c r="K20" s="313"/>
      <c r="L20" s="247">
        <f t="shared" ref="L20:L34" si="5">IF($D20="MWh/yr (LHV)",$E20,$J20*$E20/Conversion_kWh_to_MJ)</f>
        <v>0</v>
      </c>
      <c r="N20" s="251" t="str">
        <f>IFERROR(L20/L8,"")</f>
        <v/>
      </c>
      <c r="O20" s="250" t="str">
        <f>IFERROR(L20/(SUM($L$20:$L$22)),"")</f>
        <v/>
      </c>
      <c r="P20" s="42"/>
      <c r="Q20" s="42"/>
      <c r="R20" s="42"/>
      <c r="S20" s="42"/>
      <c r="U20" s="21"/>
      <c r="V20" s="12"/>
    </row>
    <row r="21" spans="2:26" s="14" customFormat="1">
      <c r="B21" s="190" t="s">
        <v>583</v>
      </c>
      <c r="C21" s="188" t="s">
        <v>804</v>
      </c>
      <c r="D21" s="183" t="s">
        <v>582</v>
      </c>
      <c r="E21" s="35"/>
      <c r="F21" s="21"/>
      <c r="G21" s="21"/>
      <c r="H21" s="20"/>
      <c r="I21" s="33"/>
      <c r="J21" s="307"/>
      <c r="K21" s="309"/>
      <c r="L21" s="247">
        <f t="shared" si="5"/>
        <v>0</v>
      </c>
      <c r="M21" s="12"/>
      <c r="N21" s="12"/>
      <c r="O21" s="250" t="str">
        <f t="shared" ref="O21:O22" si="6">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5"/>
        <v>0</v>
      </c>
      <c r="M22" s="12"/>
      <c r="N22" s="12"/>
      <c r="O22" s="250" t="str">
        <f t="shared" si="6"/>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5"/>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5"/>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5"/>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5"/>
        <v>0</v>
      </c>
      <c r="M26" s="12"/>
      <c r="N26" s="12"/>
      <c r="O26" s="12"/>
      <c r="P26" s="110"/>
      <c r="Q26" s="110"/>
      <c r="R26" s="110"/>
      <c r="S26" s="370" t="s">
        <v>596</v>
      </c>
      <c r="U26" s="21"/>
    </row>
    <row r="27" spans="2:26" s="14" customFormat="1">
      <c r="B27" s="190" t="s">
        <v>611</v>
      </c>
      <c r="C27" s="188" t="s">
        <v>839</v>
      </c>
      <c r="D27" s="183" t="s">
        <v>582</v>
      </c>
      <c r="E27" s="35"/>
      <c r="F27" s="34"/>
      <c r="G27" s="21"/>
      <c r="H27" s="20"/>
      <c r="I27" s="36"/>
      <c r="J27" s="307"/>
      <c r="K27" s="309"/>
      <c r="L27" s="247">
        <f t="shared" si="5"/>
        <v>0</v>
      </c>
      <c r="M27" s="12"/>
      <c r="N27" s="12"/>
      <c r="O27" s="12"/>
      <c r="P27" s="35">
        <v>0</v>
      </c>
      <c r="Q27" s="546"/>
      <c r="R27" s="35" t="s">
        <v>801</v>
      </c>
      <c r="S27" s="247" t="str">
        <f t="shared" ref="S27:S34" si="7">IFERROR(IF(D27="tonnes/yr", $P27*$E27/($L$20*3.6), $Q27*$E27*3.6/($L$20*3.6)), "Unfilled fields to left")</f>
        <v>Unfilled fields to left</v>
      </c>
      <c r="U27" s="21"/>
    </row>
    <row r="28" spans="2:26" s="14" customFormat="1">
      <c r="B28" s="190" t="s">
        <v>611</v>
      </c>
      <c r="C28" s="188" t="s">
        <v>840</v>
      </c>
      <c r="D28" s="183" t="s">
        <v>582</v>
      </c>
      <c r="E28" s="35"/>
      <c r="F28" s="34"/>
      <c r="G28" s="21"/>
      <c r="H28" s="20"/>
      <c r="I28" s="36"/>
      <c r="J28" s="307"/>
      <c r="K28" s="309"/>
      <c r="L28" s="247">
        <f t="shared" si="5"/>
        <v>0</v>
      </c>
      <c r="M28" s="12"/>
      <c r="N28" s="12"/>
      <c r="O28" s="12"/>
      <c r="P28" s="35">
        <v>1000</v>
      </c>
      <c r="Q28" s="546"/>
      <c r="R28" s="35" t="s">
        <v>821</v>
      </c>
      <c r="S28" s="247" t="str">
        <f t="shared" si="7"/>
        <v>Unfilled fields to left</v>
      </c>
      <c r="U28" s="21"/>
    </row>
    <row r="29" spans="2:26" s="14" customFormat="1">
      <c r="B29" s="190" t="s">
        <v>811</v>
      </c>
      <c r="C29" s="188" t="s">
        <v>842</v>
      </c>
      <c r="D29" s="183" t="s">
        <v>582</v>
      </c>
      <c r="E29" s="35">
        <f>E27*$E$50*(1-$E$51)</f>
        <v>0</v>
      </c>
      <c r="F29" s="34"/>
      <c r="G29" s="21"/>
      <c r="H29" s="20"/>
      <c r="I29" s="36"/>
      <c r="J29" s="307"/>
      <c r="K29" s="309"/>
      <c r="L29" s="247">
        <f t="shared" si="5"/>
        <v>0</v>
      </c>
      <c r="M29" s="12"/>
      <c r="N29" s="12"/>
      <c r="O29" s="12"/>
      <c r="P29" s="35">
        <v>-1000</v>
      </c>
      <c r="Q29" s="546"/>
      <c r="R29" s="35" t="s">
        <v>802</v>
      </c>
      <c r="S29" s="247" t="str">
        <f t="shared" si="7"/>
        <v>Unfilled fields to left</v>
      </c>
      <c r="U29" s="21"/>
    </row>
    <row r="30" spans="2:26" s="14" customFormat="1">
      <c r="B30" s="190" t="s">
        <v>811</v>
      </c>
      <c r="C30" s="188" t="s">
        <v>841</v>
      </c>
      <c r="D30" s="183" t="s">
        <v>582</v>
      </c>
      <c r="E30" s="35">
        <f>E28*$E$50*(1-$E$51)</f>
        <v>0</v>
      </c>
      <c r="F30" s="34"/>
      <c r="G30" s="21"/>
      <c r="H30" s="20"/>
      <c r="I30" s="36"/>
      <c r="J30" s="307"/>
      <c r="K30" s="309"/>
      <c r="L30" s="247">
        <f t="shared" si="5"/>
        <v>0</v>
      </c>
      <c r="M30" s="12"/>
      <c r="N30" s="12"/>
      <c r="O30" s="12"/>
      <c r="P30" s="35">
        <v>-1000</v>
      </c>
      <c r="Q30" s="546"/>
      <c r="R30" s="35" t="s">
        <v>827</v>
      </c>
      <c r="S30" s="247" t="str">
        <f t="shared" si="7"/>
        <v>Unfilled fields to left</v>
      </c>
      <c r="U30" s="21"/>
    </row>
    <row r="31" spans="2:26" s="14" customFormat="1">
      <c r="B31" s="190" t="s">
        <v>640</v>
      </c>
      <c r="C31" s="188" t="s">
        <v>823</v>
      </c>
      <c r="D31" s="183" t="s">
        <v>582</v>
      </c>
      <c r="E31" s="35"/>
      <c r="F31" s="34"/>
      <c r="G31" s="21"/>
      <c r="H31" s="20"/>
      <c r="I31" s="36"/>
      <c r="J31" s="307"/>
      <c r="K31" s="309"/>
      <c r="L31" s="247">
        <f t="shared" si="5"/>
        <v>0</v>
      </c>
      <c r="M31" s="12"/>
      <c r="N31" s="12"/>
      <c r="O31" s="12"/>
      <c r="P31" s="35">
        <v>28000</v>
      </c>
      <c r="Q31" s="546"/>
      <c r="R31" s="35" t="s">
        <v>651</v>
      </c>
      <c r="S31" s="247" t="str">
        <f t="shared" si="7"/>
        <v>Unfilled fields to left</v>
      </c>
      <c r="U31" s="21"/>
    </row>
    <row r="32" spans="2:26" s="14" customFormat="1">
      <c r="B32" s="190" t="s">
        <v>640</v>
      </c>
      <c r="C32" s="188" t="s">
        <v>824</v>
      </c>
      <c r="D32" s="183" t="s">
        <v>582</v>
      </c>
      <c r="E32" s="35"/>
      <c r="F32" s="21"/>
      <c r="G32" s="21"/>
      <c r="H32" s="20"/>
      <c r="I32" s="36"/>
      <c r="J32" s="307"/>
      <c r="K32" s="309"/>
      <c r="L32" s="247">
        <f t="shared" si="5"/>
        <v>0</v>
      </c>
      <c r="M32" s="12"/>
      <c r="N32" s="12"/>
      <c r="O32" s="12"/>
      <c r="P32" s="35">
        <v>265000</v>
      </c>
      <c r="Q32" s="546"/>
      <c r="R32" s="35" t="s">
        <v>651</v>
      </c>
      <c r="S32" s="247" t="str">
        <f t="shared" si="7"/>
        <v>Unfilled fields to left</v>
      </c>
      <c r="U32" s="21"/>
    </row>
    <row r="33" spans="2:22" s="14" customFormat="1">
      <c r="B33" s="16"/>
      <c r="C33" s="15"/>
      <c r="D33" s="183"/>
      <c r="E33" s="35"/>
      <c r="F33" s="21"/>
      <c r="G33" s="21"/>
      <c r="H33" s="20"/>
      <c r="I33" s="36"/>
      <c r="J33" s="307"/>
      <c r="K33" s="309"/>
      <c r="L33" s="247">
        <f t="shared" si="5"/>
        <v>0</v>
      </c>
      <c r="M33" s="12"/>
      <c r="N33" s="12"/>
      <c r="O33" s="12"/>
      <c r="P33" s="307"/>
      <c r="Q33" s="505"/>
      <c r="R33" s="309"/>
      <c r="S33" s="247" t="str">
        <f t="shared" si="7"/>
        <v>Unfilled fields to left</v>
      </c>
      <c r="U33" s="21"/>
    </row>
    <row r="34" spans="2:22" s="14" customFormat="1">
      <c r="B34" s="16"/>
      <c r="C34" s="15"/>
      <c r="D34" s="183"/>
      <c r="E34" s="35"/>
      <c r="F34" s="21"/>
      <c r="G34" s="21"/>
      <c r="H34" s="20"/>
      <c r="I34" s="36"/>
      <c r="J34" s="307"/>
      <c r="K34" s="309"/>
      <c r="L34" s="247">
        <f t="shared" si="5"/>
        <v>0</v>
      </c>
      <c r="M34" s="12"/>
      <c r="N34" s="12"/>
      <c r="O34" s="12"/>
      <c r="P34" s="307"/>
      <c r="Q34" s="505"/>
      <c r="R34" s="309"/>
      <c r="S34" s="247" t="str">
        <f t="shared" si="7"/>
        <v>Unfilled fields to left</v>
      </c>
      <c r="U34" s="21"/>
    </row>
    <row r="35" spans="2:22">
      <c r="C35" s="17"/>
      <c r="D35" s="17"/>
      <c r="E35" s="144"/>
      <c r="F35" s="17"/>
      <c r="H35" s="18"/>
      <c r="I35" s="18"/>
      <c r="J35" s="40"/>
      <c r="K35" s="40"/>
      <c r="L35" s="40"/>
      <c r="M35" s="12"/>
      <c r="P35" s="40"/>
      <c r="Q35" s="40"/>
      <c r="R35" s="40"/>
      <c r="S35" s="40"/>
      <c r="V35" s="12"/>
    </row>
    <row r="36" spans="2:22">
      <c r="B36" s="149" t="s">
        <v>843</v>
      </c>
      <c r="C36" s="149"/>
      <c r="D36" s="149"/>
      <c r="E36" s="149"/>
      <c r="F36" s="149"/>
      <c r="G36" s="149"/>
      <c r="H36" s="149"/>
      <c r="I36" s="149"/>
      <c r="J36" s="149"/>
      <c r="K36" s="149"/>
      <c r="L36" s="149"/>
      <c r="M36" s="12"/>
      <c r="P36" s="40"/>
      <c r="Q36" s="562"/>
      <c r="R36" s="40"/>
      <c r="S36" s="386" t="s">
        <v>838</v>
      </c>
      <c r="V36" s="12"/>
    </row>
    <row r="37" spans="2:22">
      <c r="B37" s="190" t="s">
        <v>611</v>
      </c>
      <c r="C37" s="188" t="s">
        <v>845</v>
      </c>
      <c r="D37" s="183" t="s">
        <v>582</v>
      </c>
      <c r="E37" s="35"/>
      <c r="F37" s="34"/>
      <c r="G37" s="21"/>
      <c r="H37" s="20"/>
      <c r="I37" s="36"/>
      <c r="J37" s="307"/>
      <c r="K37" s="309"/>
      <c r="L37" s="247">
        <f>IF($D37="MWh/yr (LHV)",$E37,$J37*$E37/Conversion_kWh_to_MJ)</f>
        <v>0</v>
      </c>
      <c r="M37" s="12"/>
      <c r="P37" s="35">
        <v>0</v>
      </c>
      <c r="Q37" s="546"/>
      <c r="R37" s="35" t="s">
        <v>801</v>
      </c>
      <c r="S37" s="247" t="str">
        <f>IFERROR(IF(D37="tonnes/yr", $P37*$E37/($L$20*3.6*$E$52), $Q37*$E37*3.6/($L$20*3.6*$E$52)), "Unfilled fields to left")</f>
        <v>Unfilled fields to left</v>
      </c>
      <c r="U37" s="21"/>
      <c r="V37" s="12"/>
    </row>
    <row r="38" spans="2:22">
      <c r="B38" s="190" t="s">
        <v>811</v>
      </c>
      <c r="C38" s="188" t="s">
        <v>847</v>
      </c>
      <c r="D38" s="183" t="s">
        <v>582</v>
      </c>
      <c r="E38" s="35">
        <f>E37*$E$50*(1-$E$51)</f>
        <v>0</v>
      </c>
      <c r="F38" s="21"/>
      <c r="G38" s="21"/>
      <c r="H38" s="20"/>
      <c r="I38" s="36"/>
      <c r="J38" s="307"/>
      <c r="K38" s="309"/>
      <c r="L38" s="247">
        <f>IF($D38="MWh/yr (LHV)",$E38,$J38*$E38/Conversion_kWh_to_MJ)</f>
        <v>0</v>
      </c>
      <c r="M38" s="12"/>
      <c r="P38" s="35">
        <v>-1000</v>
      </c>
      <c r="Q38" s="546"/>
      <c r="R38" s="35" t="s">
        <v>802</v>
      </c>
      <c r="S38" s="247" t="str">
        <f t="shared" ref="S38:S39" si="8">IFERROR(IF(D38="tonnes/yr", $P38*$E38/($L$20*3.6*$E$52), $Q38*$E38*3.6/($L$20*3.6*$E$52)), "Unfilled fields to left")</f>
        <v>Unfilled fields to left</v>
      </c>
      <c r="U38" s="21"/>
      <c r="V38" s="12"/>
    </row>
    <row r="39" spans="2:22">
      <c r="B39" s="190"/>
      <c r="C39" s="188"/>
      <c r="D39" s="183"/>
      <c r="E39" s="35"/>
      <c r="F39" s="21"/>
      <c r="G39" s="21"/>
      <c r="H39" s="20"/>
      <c r="I39" s="36"/>
      <c r="J39" s="307"/>
      <c r="K39" s="309"/>
      <c r="L39" s="247">
        <f>IF($D39="MWh/yr (LHV)",$E39,$J39*$E39/Conversion_kWh_to_MJ)</f>
        <v>0</v>
      </c>
      <c r="M39" s="12"/>
      <c r="P39" s="35"/>
      <c r="Q39" s="546"/>
      <c r="R39" s="35"/>
      <c r="S39" s="247" t="str">
        <f t="shared" si="8"/>
        <v>Unfilled fields to left</v>
      </c>
      <c r="U39" s="21"/>
      <c r="V39" s="12"/>
    </row>
    <row r="40" spans="2:22">
      <c r="C40" s="17"/>
      <c r="D40" s="17"/>
      <c r="E40" s="144"/>
      <c r="F40" s="17"/>
      <c r="H40" s="18"/>
      <c r="I40" s="18"/>
      <c r="J40" s="40"/>
      <c r="K40" s="40"/>
      <c r="L40" s="40"/>
      <c r="M40" s="12"/>
      <c r="P40" s="40"/>
      <c r="Q40" s="562"/>
      <c r="R40" s="40"/>
      <c r="S40" s="40"/>
      <c r="V40" s="12"/>
    </row>
    <row r="41" spans="2:22">
      <c r="B41" s="149" t="s">
        <v>844</v>
      </c>
      <c r="C41" s="149"/>
      <c r="D41" s="149"/>
      <c r="E41" s="149"/>
      <c r="F41" s="149"/>
      <c r="G41" s="149"/>
      <c r="H41" s="149"/>
      <c r="I41" s="149"/>
      <c r="J41" s="149"/>
      <c r="K41" s="149"/>
      <c r="L41" s="149"/>
      <c r="M41" s="12"/>
      <c r="P41" s="40"/>
      <c r="Q41" s="562"/>
      <c r="R41" s="40"/>
      <c r="S41" s="386" t="s">
        <v>687</v>
      </c>
      <c r="V41" s="12"/>
    </row>
    <row r="42" spans="2:22">
      <c r="B42" s="190" t="s">
        <v>611</v>
      </c>
      <c r="C42" s="188" t="s">
        <v>846</v>
      </c>
      <c r="D42" s="183" t="s">
        <v>582</v>
      </c>
      <c r="E42" s="35"/>
      <c r="F42" s="34"/>
      <c r="G42" s="21"/>
      <c r="H42" s="20"/>
      <c r="I42" s="36"/>
      <c r="J42" s="307"/>
      <c r="K42" s="309"/>
      <c r="L42" s="247">
        <f>IF($D42="MWh/yr (LHV)",$E42,$J42*$E42/Conversion_kWh_to_MJ)</f>
        <v>0</v>
      </c>
      <c r="M42" s="12"/>
      <c r="P42" s="35">
        <v>1000</v>
      </c>
      <c r="Q42" s="546"/>
      <c r="R42" s="35" t="s">
        <v>821</v>
      </c>
      <c r="S42" s="247" t="str">
        <f>IFERROR(IF(D42="tonnes/yr", $P42*$E42/($E$20*3.6*$E$53), $Q42*$E42*3.6/($L$20*3.6*$E$53)), "Unfilled fields to left")</f>
        <v>Unfilled fields to left</v>
      </c>
      <c r="U42" s="21"/>
      <c r="V42" s="12"/>
    </row>
    <row r="43" spans="2:22">
      <c r="B43" s="190" t="s">
        <v>811</v>
      </c>
      <c r="C43" s="188" t="s">
        <v>848</v>
      </c>
      <c r="D43" s="183" t="s">
        <v>582</v>
      </c>
      <c r="E43" s="35">
        <f>E42*$E$50*(1-$E$51)</f>
        <v>0</v>
      </c>
      <c r="F43" s="21"/>
      <c r="G43" s="21"/>
      <c r="H43" s="20"/>
      <c r="I43" s="36"/>
      <c r="J43" s="307"/>
      <c r="K43" s="309"/>
      <c r="L43" s="247">
        <f>IF($D43="MWh/yr (LHV)",$E43,$J43*$E43/Conversion_kWh_to_MJ)</f>
        <v>0</v>
      </c>
      <c r="M43" s="12"/>
      <c r="P43" s="35">
        <v>-1000</v>
      </c>
      <c r="Q43" s="546"/>
      <c r="R43" s="35" t="s">
        <v>827</v>
      </c>
      <c r="S43" s="247" t="str">
        <f t="shared" ref="S43:S44" si="9">IFERROR(IF(D43="tonnes/yr", $P43*$E43/($E$20*3.6*$E$53), $Q43*$E43*3.6/($L$20*3.6*$E$53)), "Unfilled fields to left")</f>
        <v>Unfilled fields to left</v>
      </c>
      <c r="U43" s="21"/>
      <c r="V43" s="12"/>
    </row>
    <row r="44" spans="2:22">
      <c r="B44" s="554"/>
      <c r="C44" s="555"/>
      <c r="D44" s="183"/>
      <c r="E44" s="35"/>
      <c r="F44" s="21"/>
      <c r="G44" s="21"/>
      <c r="H44" s="20"/>
      <c r="I44" s="36"/>
      <c r="J44" s="307"/>
      <c r="K44" s="309"/>
      <c r="L44" s="247">
        <f>IF($D44="MWh/yr (LHV)",$E44,$J44*$E44/Conversion_kWh_to_MJ)</f>
        <v>0</v>
      </c>
      <c r="M44" s="12"/>
      <c r="P44" s="35"/>
      <c r="Q44" s="546"/>
      <c r="R44" s="35"/>
      <c r="S44" s="247" t="str">
        <f t="shared" si="9"/>
        <v>Unfilled fields to left</v>
      </c>
      <c r="U44" s="21"/>
      <c r="V44" s="12"/>
    </row>
    <row r="45" spans="2:22">
      <c r="C45" s="17"/>
      <c r="D45" s="17"/>
      <c r="E45" s="144"/>
      <c r="F45" s="17"/>
      <c r="H45" s="18"/>
      <c r="I45" s="18"/>
      <c r="J45" s="40"/>
      <c r="K45" s="40"/>
      <c r="L45" s="40"/>
      <c r="M45" s="12"/>
      <c r="P45" s="40"/>
      <c r="Q45" s="40"/>
      <c r="R45" s="40"/>
      <c r="S45" s="40"/>
      <c r="V45" s="12"/>
    </row>
    <row r="46" spans="2:22">
      <c r="D46" s="17"/>
      <c r="E46" s="144"/>
      <c r="J46" s="39"/>
      <c r="K46" s="39"/>
      <c r="M46" s="12"/>
      <c r="P46" s="39"/>
      <c r="Q46" s="39"/>
      <c r="R46" s="38" t="s">
        <v>688</v>
      </c>
      <c r="S46" s="157">
        <f>SUM(S7:S35)+SUM(S37:S40)</f>
        <v>0</v>
      </c>
      <c r="V46" s="12"/>
    </row>
    <row r="47" spans="2:22">
      <c r="D47" s="17"/>
      <c r="E47" s="144"/>
      <c r="J47" s="39"/>
      <c r="K47" s="39"/>
      <c r="M47" s="12"/>
      <c r="P47" s="39"/>
      <c r="Q47" s="39"/>
      <c r="R47" s="38" t="s">
        <v>689</v>
      </c>
      <c r="S47" s="176">
        <f>SUM(S7:S35)+SUM(S42:S45)</f>
        <v>0</v>
      </c>
      <c r="V47" s="12"/>
    </row>
    <row r="48" spans="2:22">
      <c r="B48" s="149" t="s">
        <v>94</v>
      </c>
      <c r="C48" s="163"/>
      <c r="D48" s="163"/>
      <c r="E48" s="527"/>
      <c r="I48" s="12"/>
      <c r="J48" s="110"/>
      <c r="K48" s="110"/>
      <c r="L48" s="110"/>
      <c r="M48" s="12"/>
      <c r="P48" s="110"/>
      <c r="Q48" s="110"/>
      <c r="R48" s="110"/>
      <c r="V48" s="12"/>
    </row>
    <row r="49" spans="2:22">
      <c r="B49" s="16" t="s">
        <v>626</v>
      </c>
      <c r="C49" s="15" t="s">
        <v>627</v>
      </c>
      <c r="D49" s="15" t="s">
        <v>628</v>
      </c>
      <c r="E49" s="529"/>
      <c r="G49" s="19"/>
      <c r="H49" s="12"/>
      <c r="I49" s="12"/>
      <c r="J49" s="110"/>
      <c r="K49" s="110"/>
      <c r="L49" s="110"/>
      <c r="M49" s="12"/>
      <c r="P49" s="110"/>
      <c r="Q49" s="110"/>
      <c r="R49" s="110"/>
      <c r="S49" s="12"/>
      <c r="U49" s="25"/>
      <c r="V49" s="12"/>
    </row>
    <row r="50" spans="2:22">
      <c r="B50" s="16" t="s">
        <v>642</v>
      </c>
      <c r="C50" s="15" t="s">
        <v>652</v>
      </c>
      <c r="D50" s="15" t="s">
        <v>497</v>
      </c>
      <c r="E50" s="539"/>
      <c r="H50" s="12"/>
      <c r="I50" s="12"/>
      <c r="J50" s="110"/>
      <c r="K50" s="110"/>
      <c r="L50" s="110"/>
      <c r="M50" s="12"/>
      <c r="P50" s="110"/>
      <c r="Q50" s="110"/>
      <c r="R50" s="110"/>
      <c r="S50" s="12"/>
      <c r="U50" s="25"/>
      <c r="V50" s="12"/>
    </row>
    <row r="51" spans="2:22">
      <c r="B51" s="16" t="s">
        <v>654</v>
      </c>
      <c r="C51" s="15" t="s">
        <v>655</v>
      </c>
      <c r="D51" s="15" t="s">
        <v>497</v>
      </c>
      <c r="E51" s="539"/>
      <c r="J51" s="39"/>
      <c r="K51" s="39"/>
      <c r="P51" s="39"/>
      <c r="Q51" s="39"/>
      <c r="R51" s="39"/>
      <c r="U51" s="25"/>
    </row>
    <row r="52" spans="2:22">
      <c r="B52" s="16" t="s">
        <v>690</v>
      </c>
      <c r="C52" s="15" t="s">
        <v>762</v>
      </c>
      <c r="D52" s="15" t="s">
        <v>497</v>
      </c>
      <c r="E52" s="539"/>
      <c r="J52" s="39"/>
      <c r="K52" s="39"/>
      <c r="P52" s="39"/>
      <c r="Q52" s="39"/>
      <c r="R52" s="39"/>
      <c r="U52" s="560"/>
    </row>
    <row r="53" spans="2:22">
      <c r="B53" s="16" t="s">
        <v>690</v>
      </c>
      <c r="C53" s="15" t="s">
        <v>761</v>
      </c>
      <c r="D53" s="15" t="s">
        <v>497</v>
      </c>
      <c r="E53" s="539">
        <f>1-E52</f>
        <v>1</v>
      </c>
      <c r="J53" s="39"/>
      <c r="K53" s="39"/>
      <c r="P53" s="39"/>
      <c r="Q53" s="39"/>
      <c r="R53" s="39"/>
      <c r="U53" s="25"/>
    </row>
    <row r="54" spans="2:22">
      <c r="B54" s="16"/>
      <c r="C54" s="15"/>
      <c r="D54" s="15"/>
      <c r="E54" s="535"/>
      <c r="J54" s="39"/>
      <c r="K54" s="39"/>
      <c r="P54" s="39"/>
      <c r="Q54" s="39"/>
      <c r="R54" s="39"/>
      <c r="U54" s="560"/>
    </row>
    <row r="55" spans="2:22">
      <c r="E55" s="110"/>
      <c r="J55" s="39"/>
      <c r="K55" s="39"/>
      <c r="P55" s="39"/>
      <c r="Q55" s="39"/>
      <c r="R55" s="39"/>
    </row>
    <row r="56" spans="2:22">
      <c r="E56" s="110"/>
      <c r="J56" s="39"/>
      <c r="K56" s="39"/>
      <c r="P56" s="39"/>
      <c r="Q56" s="39"/>
      <c r="R56" s="39"/>
    </row>
    <row r="57" spans="2:22">
      <c r="E57" s="110"/>
      <c r="J57" s="39"/>
      <c r="K57" s="39"/>
      <c r="P57" s="39"/>
      <c r="Q57" s="39"/>
      <c r="R57" s="39"/>
    </row>
    <row r="58" spans="2:22">
      <c r="E58" s="110"/>
      <c r="J58" s="39"/>
      <c r="K58" s="39"/>
      <c r="P58" s="39"/>
      <c r="Q58" s="39"/>
      <c r="R58" s="39"/>
    </row>
    <row r="59" spans="2:22">
      <c r="E59" s="110"/>
      <c r="J59" s="39"/>
      <c r="K59" s="39"/>
      <c r="P59" s="39"/>
      <c r="Q59" s="39"/>
      <c r="R59" s="39"/>
    </row>
    <row r="60" spans="2:22">
      <c r="E60" s="110"/>
      <c r="J60" s="39"/>
      <c r="K60" s="39"/>
      <c r="P60" s="39"/>
      <c r="Q60" s="39"/>
      <c r="R60" s="39"/>
    </row>
    <row r="61" spans="2:22">
      <c r="E61" s="110"/>
      <c r="J61" s="39"/>
      <c r="K61" s="39"/>
      <c r="P61" s="39"/>
      <c r="Q61" s="39"/>
      <c r="R61" s="39"/>
    </row>
    <row r="62" spans="2:22">
      <c r="E62" s="110"/>
      <c r="J62" s="39"/>
      <c r="K62" s="39"/>
      <c r="P62" s="39"/>
      <c r="Q62" s="39"/>
      <c r="R62" s="39"/>
    </row>
    <row r="63" spans="2:22">
      <c r="E63" s="110"/>
      <c r="J63" s="39"/>
      <c r="K63" s="39"/>
      <c r="P63" s="39"/>
      <c r="Q63" s="39"/>
      <c r="R63" s="39"/>
    </row>
    <row r="64" spans="2:22">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J122" s="39"/>
      <c r="K122" s="39"/>
      <c r="P122" s="39"/>
      <c r="Q122" s="39"/>
      <c r="R122" s="39"/>
    </row>
    <row r="123" spans="5:18">
      <c r="E123" s="110"/>
      <c r="J123" s="39"/>
      <c r="K123" s="39"/>
      <c r="P123" s="39"/>
      <c r="Q123" s="39"/>
      <c r="R123" s="39"/>
    </row>
    <row r="124" spans="5:18">
      <c r="E124" s="110"/>
      <c r="J124" s="39"/>
      <c r="K124" s="39"/>
      <c r="P124" s="39"/>
      <c r="Q124" s="39"/>
      <c r="R124" s="39"/>
    </row>
    <row r="125" spans="5:18">
      <c r="E125" s="110"/>
      <c r="J125" s="39"/>
      <c r="K125" s="39"/>
      <c r="P125" s="39"/>
      <c r="Q125" s="39"/>
      <c r="R125" s="39"/>
    </row>
    <row r="126" spans="5:18">
      <c r="E126" s="110"/>
      <c r="J126" s="39"/>
      <c r="K126" s="39"/>
      <c r="P126" s="39"/>
      <c r="Q126" s="39"/>
      <c r="R126" s="39"/>
    </row>
    <row r="127" spans="5:18">
      <c r="E127" s="110"/>
      <c r="J127" s="39"/>
      <c r="K127" s="39"/>
      <c r="P127" s="39"/>
      <c r="Q127" s="39"/>
      <c r="R127" s="39"/>
    </row>
    <row r="128" spans="5:18">
      <c r="E128" s="110"/>
      <c r="J128" s="39"/>
      <c r="K128" s="39"/>
      <c r="P128" s="39"/>
      <c r="Q128" s="39"/>
      <c r="R128" s="39"/>
    </row>
    <row r="129" spans="5:18">
      <c r="E129" s="110"/>
      <c r="J129" s="39"/>
      <c r="K129" s="39"/>
      <c r="P129" s="39"/>
      <c r="Q129" s="39"/>
      <c r="R129" s="39"/>
    </row>
    <row r="130" spans="5:18">
      <c r="E130" s="110"/>
      <c r="J130" s="39"/>
      <c r="K130" s="39"/>
      <c r="P130" s="39"/>
      <c r="Q130" s="39"/>
      <c r="R130" s="39"/>
    </row>
    <row r="131" spans="5:18">
      <c r="E131" s="110"/>
      <c r="J131" s="39"/>
      <c r="K131" s="39"/>
      <c r="P131" s="39"/>
      <c r="Q131" s="39"/>
      <c r="R131" s="39"/>
    </row>
    <row r="132" spans="5:18">
      <c r="E132" s="110"/>
      <c r="J132" s="39"/>
      <c r="K132" s="39"/>
      <c r="P132" s="39"/>
      <c r="Q132" s="39"/>
      <c r="R132" s="39"/>
    </row>
    <row r="133" spans="5:18">
      <c r="E133" s="110"/>
      <c r="J133" s="39"/>
      <c r="K133" s="39"/>
      <c r="P133" s="39"/>
      <c r="Q133" s="39"/>
      <c r="R133" s="39"/>
    </row>
    <row r="134" spans="5:18">
      <c r="E134" s="110"/>
      <c r="J134" s="39"/>
      <c r="K134" s="39"/>
      <c r="P134" s="39"/>
      <c r="Q134" s="39"/>
      <c r="R134" s="39"/>
    </row>
    <row r="135" spans="5:18">
      <c r="E135" s="110"/>
      <c r="J135" s="39"/>
      <c r="K135" s="39"/>
      <c r="P135" s="39"/>
      <c r="Q135" s="39"/>
      <c r="R135" s="39"/>
    </row>
    <row r="136" spans="5:18">
      <c r="E136" s="110"/>
      <c r="J136" s="39"/>
      <c r="K136" s="39"/>
      <c r="P136" s="39"/>
      <c r="Q136" s="39"/>
      <c r="R136" s="39"/>
    </row>
    <row r="137" spans="5:18">
      <c r="E137" s="110"/>
      <c r="J137" s="39"/>
      <c r="K137" s="39"/>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E147" s="110"/>
      <c r="P147" s="39"/>
      <c r="Q147" s="39"/>
      <c r="R147" s="39"/>
    </row>
    <row r="148" spans="5:18">
      <c r="E148" s="110"/>
      <c r="P148" s="39"/>
      <c r="Q148" s="39"/>
      <c r="R148" s="39"/>
    </row>
    <row r="149" spans="5:18">
      <c r="E149" s="110"/>
      <c r="P149" s="39"/>
      <c r="Q149" s="39"/>
      <c r="R149" s="39"/>
    </row>
    <row r="150" spans="5:18">
      <c r="E150" s="110"/>
      <c r="P150" s="39"/>
      <c r="Q150" s="39"/>
      <c r="R150" s="39"/>
    </row>
    <row r="151" spans="5:18">
      <c r="E151" s="110"/>
      <c r="P151" s="39"/>
      <c r="Q151" s="39"/>
      <c r="R151" s="39"/>
    </row>
    <row r="152" spans="5:18">
      <c r="E152" s="110"/>
      <c r="P152" s="39"/>
      <c r="Q152" s="39"/>
      <c r="R152" s="39"/>
    </row>
    <row r="153" spans="5:18">
      <c r="E153" s="110"/>
      <c r="P153" s="39"/>
      <c r="Q153" s="39"/>
      <c r="R153" s="39"/>
    </row>
    <row r="154" spans="5:18">
      <c r="E154" s="110"/>
      <c r="P154" s="39"/>
      <c r="Q154" s="39"/>
      <c r="R154" s="39"/>
    </row>
    <row r="155" spans="5:18">
      <c r="E155" s="110"/>
      <c r="P155" s="39"/>
      <c r="Q155" s="39"/>
      <c r="R155" s="39"/>
    </row>
    <row r="156" spans="5:18">
      <c r="E156" s="110"/>
      <c r="P156" s="39"/>
      <c r="Q156" s="39"/>
      <c r="R156" s="39"/>
    </row>
    <row r="157" spans="5:18">
      <c r="E157" s="110"/>
      <c r="P157" s="39"/>
      <c r="Q157" s="39"/>
      <c r="R157" s="39"/>
    </row>
    <row r="158" spans="5:18">
      <c r="E158" s="110"/>
      <c r="P158" s="39"/>
      <c r="Q158" s="39"/>
      <c r="R158" s="39"/>
    </row>
    <row r="159" spans="5:18">
      <c r="E159" s="110"/>
      <c r="P159" s="39"/>
      <c r="Q159" s="39"/>
      <c r="R159" s="39"/>
    </row>
    <row r="160" spans="5:18">
      <c r="E160" s="110"/>
      <c r="P160" s="39"/>
      <c r="Q160" s="39"/>
      <c r="R160" s="39"/>
    </row>
    <row r="161" spans="5:18">
      <c r="E161" s="110"/>
      <c r="P161" s="39"/>
      <c r="Q161" s="39"/>
      <c r="R161" s="39"/>
    </row>
    <row r="162" spans="5:18">
      <c r="E162" s="110"/>
      <c r="P162" s="39"/>
      <c r="Q162" s="39"/>
      <c r="R162" s="39"/>
    </row>
    <row r="163" spans="5:18">
      <c r="P163" s="39"/>
      <c r="Q163" s="39"/>
      <c r="R163" s="39"/>
    </row>
    <row r="164" spans="5:18">
      <c r="P164" s="39"/>
      <c r="Q164" s="39"/>
      <c r="R164" s="39"/>
    </row>
    <row r="165" spans="5:18">
      <c r="P165" s="39"/>
      <c r="Q165" s="39"/>
      <c r="R165" s="39"/>
    </row>
    <row r="166" spans="5:18">
      <c r="P166" s="39"/>
      <c r="Q166" s="39"/>
      <c r="R166" s="39"/>
    </row>
    <row r="167" spans="5:18">
      <c r="P167" s="39"/>
      <c r="Q167" s="39"/>
      <c r="R167" s="39"/>
    </row>
    <row r="168" spans="5:18">
      <c r="P168" s="39"/>
      <c r="Q168" s="39"/>
      <c r="R168" s="39"/>
    </row>
    <row r="169" spans="5:18">
      <c r="P169" s="39"/>
      <c r="Q169" s="39"/>
      <c r="R169" s="39"/>
    </row>
    <row r="170" spans="5:18">
      <c r="P170" s="39"/>
      <c r="Q170" s="39"/>
      <c r="R170" s="39"/>
    </row>
    <row r="171" spans="5:18">
      <c r="P171" s="39"/>
      <c r="Q171" s="39"/>
      <c r="R171" s="39"/>
    </row>
    <row r="172" spans="5:18">
      <c r="P172" s="39"/>
      <c r="Q172" s="39"/>
      <c r="R172" s="39"/>
    </row>
    <row r="173" spans="5:18">
      <c r="P173" s="39"/>
      <c r="Q173" s="39"/>
      <c r="R173" s="39"/>
    </row>
    <row r="174" spans="5:18">
      <c r="P174" s="39"/>
      <c r="Q174" s="39"/>
      <c r="R174" s="39"/>
    </row>
    <row r="175" spans="5:18">
      <c r="P175" s="39"/>
      <c r="Q175" s="39"/>
      <c r="R175" s="39"/>
    </row>
    <row r="176" spans="5: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row r="189" spans="16:18">
      <c r="P189" s="39"/>
      <c r="Q189" s="39"/>
      <c r="R189" s="39"/>
    </row>
    <row r="190" spans="16:18">
      <c r="P190" s="39"/>
      <c r="Q190" s="39"/>
      <c r="R190" s="39"/>
    </row>
    <row r="191" spans="16:18">
      <c r="P191" s="39"/>
      <c r="Q191" s="39"/>
      <c r="R191" s="39"/>
    </row>
    <row r="192" spans="16:18">
      <c r="P192" s="39"/>
      <c r="Q192" s="39"/>
      <c r="R192" s="39"/>
    </row>
    <row r="193" spans="16:18">
      <c r="P193" s="39"/>
      <c r="Q193" s="39"/>
      <c r="R193" s="39"/>
    </row>
    <row r="194" spans="16:18">
      <c r="P194" s="39"/>
      <c r="Q194" s="39"/>
      <c r="R194" s="39"/>
    </row>
    <row r="195" spans="16:18">
      <c r="P195" s="39"/>
      <c r="Q195" s="39"/>
      <c r="R195" s="39"/>
    </row>
    <row r="196" spans="16:18">
      <c r="P196" s="39"/>
      <c r="Q196" s="39"/>
      <c r="R196" s="39"/>
    </row>
    <row r="197" spans="16:18">
      <c r="P197" s="39"/>
      <c r="Q197" s="39"/>
      <c r="R197" s="39"/>
    </row>
    <row r="198" spans="16:18">
      <c r="P198" s="39"/>
      <c r="Q198" s="39"/>
      <c r="R198" s="39"/>
    </row>
    <row r="199" spans="16:18">
      <c r="P199" s="39"/>
      <c r="Q199" s="39"/>
      <c r="R199" s="39"/>
    </row>
    <row r="200" spans="16:18">
      <c r="P200" s="39"/>
      <c r="Q200" s="39"/>
      <c r="R200" s="39"/>
    </row>
    <row r="201" spans="16:18">
      <c r="P201" s="39"/>
      <c r="Q201" s="39"/>
      <c r="R201" s="39"/>
    </row>
    <row r="202" spans="16:18">
      <c r="P202" s="39"/>
      <c r="Q202" s="39"/>
      <c r="R202" s="39"/>
    </row>
    <row r="203" spans="16:18">
      <c r="P203" s="39"/>
      <c r="Q203" s="39"/>
      <c r="R203" s="39"/>
    </row>
    <row r="204" spans="16:18">
      <c r="P204" s="39"/>
      <c r="Q204" s="39"/>
      <c r="R204" s="39"/>
    </row>
  </sheetData>
  <customSheetViews>
    <customSheetView guid="{43B6AE9C-E429-4506-98F3-C388B54AB8B6}" showGridLines="0">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4 D37:D39 D42:D44" xr:uid="{97998BDC-1DD0-4D1A-A832-A373E99DD0C9}">
      <formula1>Flow_units</formula1>
    </dataValidation>
    <dataValidation type="custom" allowBlank="1" showInputMessage="1" showErrorMessage="1" error="Please do not change this formula" prompt="Please do not change this formula" sqref="T4 M4 L1:L1048576 S6:S1048576 S1:S4 N1:O4 N6:O1048576 N5:S5" xr:uid="{683C8AF2-CA66-4AF6-91CC-400F889D089D}">
      <formula1>"Please do not change this formula"</formula1>
    </dataValidation>
  </dataValidations>
  <hyperlinks>
    <hyperlink ref="I2:J2" location="'Waste Further Transport'!A1" display="Go to the next step of this pathway" xr:uid="{593C3D66-E095-4CBE-8C76-E5E28BF9CD03}"/>
    <hyperlink ref="I2:K2" location="Waste_Further_Transport!A1" display="Go to the next step of this pathway" xr:uid="{24A43B58-B5B8-44CC-8763-E756C8080821}"/>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9" id="{2DCD7565-2361-4AE3-99C3-522A7F64D1B4}">
            <xm:f>AND(Initial_questions!$E$21&lt;&gt;"Waste Gasification with CCS",Initial_questions!$E$21&lt;&gt;"Waste Gasification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18" id="{B9CE5E8F-9D16-4EFE-8322-216CBC5939C1}">
            <xm:f>AND(OR(GHG_WASTE_GASIFICATION!$D$5="Default",GHG_WASTE_GASIFICATION!$D$26="Default"),Master_Switch="On")</xm:f>
            <x14:dxf>
              <font>
                <color theme="0"/>
              </font>
              <fill>
                <patternFill>
                  <bgColor theme="0"/>
                </patternFill>
              </fill>
              <border>
                <left/>
                <right/>
                <top/>
                <bottom/>
              </border>
            </x14:dxf>
          </x14:cfRule>
          <xm:sqref>A4:XFD100</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C17B5-8E75-429E-8EBA-94AB7F3854D0}">
  <sheetPr codeName="Sheet37">
    <tabColor theme="7" tint="0.59999389629810485"/>
  </sheetPr>
  <dimension ref="A1:Z188"/>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IF(AND(Initial_questions!$E$21&lt;&gt;"Waste Gasification with CCS",Initial_questions!$E$21&lt;&gt;"Waste Gasification without CCS",Master_Switch="On"),"User should not fill in this sheet, but switch to other non-blank GHG worksheets","")</f>
        <v>User should not fill in this sheet, but switch to other non-blank GHG worksheets</v>
      </c>
      <c r="E1" s="262"/>
    </row>
    <row r="2" spans="1:26" ht="20.399999999999999" customHeight="1">
      <c r="B2" s="83" t="str">
        <f>IF(AND(OR(GHG_WASTE_GASIFICATION!$D$5="Default",GHG_WASTE_GASIFICATION!$D$26="Default"),Master_Switch="On"),"Default data selected for this module, move to the next step of the pathway","")</f>
        <v/>
      </c>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685</v>
      </c>
      <c r="D8" s="183" t="s">
        <v>582</v>
      </c>
      <c r="E8" s="35"/>
      <c r="F8" s="21"/>
      <c r="G8" s="21"/>
      <c r="H8" s="20"/>
      <c r="I8" s="20"/>
      <c r="J8" s="307"/>
      <c r="K8" s="309"/>
      <c r="L8" s="247">
        <f t="shared" ref="L8:L17" si="0">IF($D8="MWh/yr (LHV)",$E8,$J8*$E8/Conversion_kWh_to_MJ)</f>
        <v>0</v>
      </c>
      <c r="M8" s="12"/>
      <c r="P8" s="110"/>
      <c r="Q8" s="110"/>
      <c r="R8" s="110"/>
      <c r="S8" s="12"/>
      <c r="U8" s="24"/>
      <c r="V8" s="12"/>
    </row>
    <row r="9" spans="1:26">
      <c r="B9" s="190" t="s">
        <v>592</v>
      </c>
      <c r="C9" s="188" t="s">
        <v>646</v>
      </c>
      <c r="D9" s="183" t="s">
        <v>747</v>
      </c>
      <c r="E9" s="35"/>
      <c r="F9" s="21"/>
      <c r="G9" s="21"/>
      <c r="H9" s="20"/>
      <c r="I9" s="36"/>
      <c r="J9" s="307"/>
      <c r="K9" s="309"/>
      <c r="L9" s="247">
        <f t="shared" si="0"/>
        <v>0</v>
      </c>
      <c r="M9" s="12"/>
      <c r="P9" s="35" t="str">
        <f t="shared" ref="P9:P17" si="1">IF(B9="", "", IF(D9="MWh/yr (LHV)", "Use column to right", "Enter data here"))</f>
        <v>Use column to right</v>
      </c>
      <c r="Q9" s="35" t="e">
        <f>INDEX(Assumptions!$F$5:$AJ$5,1,MATCH(Initial_questions!$E$24,Assumptions!$F$4:$AJ$4,0))*1000/Conversion_kWh_to_MJ</f>
        <v>#N/A</v>
      </c>
      <c r="R9" s="35" t="s">
        <v>896</v>
      </c>
      <c r="S9" s="247" t="str">
        <f t="shared" ref="S9:S17" si="2">IFERROR(IF(D9="tonnes/yr", $P9*$E9/($L$20*3.6), $Q9*$E9*3.6/($L$20*3.6)), "Unfilled fields to left")</f>
        <v>Unfilled fields to left</v>
      </c>
      <c r="U9" s="25"/>
      <c r="V9" s="12"/>
    </row>
    <row r="10" spans="1:26">
      <c r="B10" s="190" t="s">
        <v>592</v>
      </c>
      <c r="C10" s="188"/>
      <c r="D10" s="183"/>
      <c r="E10" s="35"/>
      <c r="F10" s="21"/>
      <c r="G10" s="21"/>
      <c r="H10" s="20"/>
      <c r="I10" s="36"/>
      <c r="J10" s="307"/>
      <c r="K10" s="309"/>
      <c r="L10" s="247">
        <f t="shared" si="0"/>
        <v>0</v>
      </c>
      <c r="M10" s="12"/>
      <c r="P10" s="35" t="str">
        <f t="shared" si="1"/>
        <v>Enter data here</v>
      </c>
      <c r="Q10" s="35" t="str">
        <f t="shared" ref="Q10:Q17" si="3">IF(B10="", "", IF(D10="MWh/yr (LHV)", "Enter data here", "Use column to left"))</f>
        <v>Use column to left</v>
      </c>
      <c r="R10" s="35" t="s">
        <v>898</v>
      </c>
      <c r="S10" s="247" t="str">
        <f t="shared" si="2"/>
        <v>Unfilled fields to left</v>
      </c>
      <c r="U10" s="25"/>
      <c r="V10" s="12"/>
    </row>
    <row r="11" spans="1:26">
      <c r="B11" s="190" t="s">
        <v>599</v>
      </c>
      <c r="C11" s="188" t="s">
        <v>600</v>
      </c>
      <c r="D11" s="183" t="s">
        <v>582</v>
      </c>
      <c r="E11" s="35"/>
      <c r="F11" s="21"/>
      <c r="G11" s="21"/>
      <c r="H11" s="20"/>
      <c r="I11" s="36"/>
      <c r="J11" s="307"/>
      <c r="K11" s="309"/>
      <c r="L11" s="247">
        <f t="shared" si="0"/>
        <v>0</v>
      </c>
      <c r="M11" s="12"/>
      <c r="P11" s="35" t="str">
        <f t="shared" si="1"/>
        <v>Enter data here</v>
      </c>
      <c r="Q11" s="35" t="str">
        <f t="shared" si="3"/>
        <v>Use column to left</v>
      </c>
      <c r="R11" s="35" t="s">
        <v>898</v>
      </c>
      <c r="S11" s="247" t="str">
        <f t="shared" si="2"/>
        <v>Unfilled fields to left</v>
      </c>
      <c r="U11" s="25"/>
      <c r="V11" s="12"/>
    </row>
    <row r="12" spans="1:26">
      <c r="B12" s="190" t="s">
        <v>599</v>
      </c>
      <c r="C12" s="188" t="s">
        <v>601</v>
      </c>
      <c r="D12" s="183" t="s">
        <v>582</v>
      </c>
      <c r="E12" s="35"/>
      <c r="F12" s="21"/>
      <c r="G12" s="21"/>
      <c r="H12" s="20"/>
      <c r="I12" s="36"/>
      <c r="J12" s="307"/>
      <c r="K12" s="309"/>
      <c r="L12" s="247">
        <f t="shared" si="0"/>
        <v>0</v>
      </c>
      <c r="M12" s="12"/>
      <c r="P12" s="35" t="str">
        <f t="shared" si="1"/>
        <v>Enter data here</v>
      </c>
      <c r="Q12" s="35" t="str">
        <f t="shared" si="3"/>
        <v>Use column to left</v>
      </c>
      <c r="R12" s="35" t="s">
        <v>898</v>
      </c>
      <c r="S12" s="247" t="str">
        <f t="shared" si="2"/>
        <v>Unfilled fields to left</v>
      </c>
      <c r="U12" s="25"/>
      <c r="V12" s="12"/>
    </row>
    <row r="13" spans="1:26">
      <c r="B13" s="190" t="s">
        <v>605</v>
      </c>
      <c r="C13" s="188" t="s">
        <v>607</v>
      </c>
      <c r="D13" s="183" t="s">
        <v>582</v>
      </c>
      <c r="E13" s="35"/>
      <c r="F13" s="21"/>
      <c r="G13" s="21"/>
      <c r="H13" s="20"/>
      <c r="I13" s="36"/>
      <c r="J13" s="307"/>
      <c r="K13" s="309"/>
      <c r="L13" s="247">
        <f t="shared" si="0"/>
        <v>0</v>
      </c>
      <c r="M13" s="12"/>
      <c r="P13" s="35" t="str">
        <f t="shared" si="1"/>
        <v>Enter data here</v>
      </c>
      <c r="Q13" s="35" t="str">
        <f t="shared" si="3"/>
        <v>Use column to left</v>
      </c>
      <c r="R13" s="35" t="s">
        <v>898</v>
      </c>
      <c r="S13" s="247" t="str">
        <f t="shared" si="2"/>
        <v>Unfilled fields to left</v>
      </c>
      <c r="U13" s="25"/>
      <c r="V13" s="12"/>
    </row>
    <row r="14" spans="1:26">
      <c r="B14" s="190" t="s">
        <v>605</v>
      </c>
      <c r="C14" s="188" t="s">
        <v>635</v>
      </c>
      <c r="D14" s="183" t="s">
        <v>582</v>
      </c>
      <c r="E14" s="35"/>
      <c r="F14" s="21"/>
      <c r="G14" s="21"/>
      <c r="H14" s="20"/>
      <c r="I14" s="36"/>
      <c r="J14" s="307"/>
      <c r="K14" s="309"/>
      <c r="L14" s="247">
        <f t="shared" si="0"/>
        <v>0</v>
      </c>
      <c r="M14" s="12"/>
      <c r="P14" s="35" t="str">
        <f t="shared" si="1"/>
        <v>Enter data here</v>
      </c>
      <c r="Q14" s="35" t="str">
        <f t="shared" si="3"/>
        <v>Use column to left</v>
      </c>
      <c r="R14" s="35" t="s">
        <v>898</v>
      </c>
      <c r="S14" s="247" t="str">
        <f t="shared" si="2"/>
        <v>Unfilled fields to left</v>
      </c>
      <c r="U14" s="25"/>
      <c r="V14" s="12"/>
    </row>
    <row r="15" spans="1:26">
      <c r="B15" s="190" t="s">
        <v>657</v>
      </c>
      <c r="C15" s="188" t="s">
        <v>609</v>
      </c>
      <c r="D15" s="183" t="s">
        <v>582</v>
      </c>
      <c r="E15" s="35"/>
      <c r="F15" s="21"/>
      <c r="G15" s="21"/>
      <c r="H15" s="20"/>
      <c r="I15" s="36"/>
      <c r="J15" s="307"/>
      <c r="K15" s="309"/>
      <c r="L15" s="247">
        <f t="shared" si="0"/>
        <v>0</v>
      </c>
      <c r="M15" s="12"/>
      <c r="P15" s="35" t="str">
        <f t="shared" si="1"/>
        <v>Enter data here</v>
      </c>
      <c r="Q15" s="35" t="str">
        <f t="shared" si="3"/>
        <v>Use column to left</v>
      </c>
      <c r="R15" s="35" t="s">
        <v>898</v>
      </c>
      <c r="S15" s="247" t="str">
        <f t="shared" si="2"/>
        <v>Unfilled fields to left</v>
      </c>
      <c r="U15" s="25"/>
      <c r="V15" s="12"/>
    </row>
    <row r="16" spans="1:26">
      <c r="B16" s="190" t="s">
        <v>657</v>
      </c>
      <c r="C16" s="188" t="s">
        <v>677</v>
      </c>
      <c r="D16" s="183" t="s">
        <v>582</v>
      </c>
      <c r="E16" s="35"/>
      <c r="F16" s="21"/>
      <c r="G16" s="21"/>
      <c r="H16" s="20"/>
      <c r="I16" s="36"/>
      <c r="J16" s="307"/>
      <c r="K16" s="309"/>
      <c r="L16" s="247">
        <f t="shared" si="0"/>
        <v>0</v>
      </c>
      <c r="M16" s="12"/>
      <c r="P16" s="35" t="str">
        <f t="shared" si="1"/>
        <v>Enter data here</v>
      </c>
      <c r="Q16" s="35" t="str">
        <f t="shared" si="3"/>
        <v>Use column to left</v>
      </c>
      <c r="R16" s="35" t="s">
        <v>898</v>
      </c>
      <c r="S16" s="247" t="str">
        <f t="shared" si="2"/>
        <v>Unfilled fields to left</v>
      </c>
      <c r="U16" s="25"/>
      <c r="V16" s="12"/>
    </row>
    <row r="17" spans="2:26">
      <c r="B17" s="16"/>
      <c r="C17" s="15"/>
      <c r="D17" s="183"/>
      <c r="E17" s="35"/>
      <c r="F17" s="21"/>
      <c r="G17" s="21"/>
      <c r="H17" s="20"/>
      <c r="I17" s="36"/>
      <c r="J17" s="307"/>
      <c r="K17" s="309"/>
      <c r="L17" s="247">
        <f t="shared" si="0"/>
        <v>0</v>
      </c>
      <c r="M17" s="12"/>
      <c r="P17" s="35" t="str">
        <f t="shared" si="1"/>
        <v/>
      </c>
      <c r="Q17" s="35" t="str">
        <f t="shared" si="3"/>
        <v/>
      </c>
      <c r="R17" s="35"/>
      <c r="S17" s="247" t="str">
        <f t="shared" si="2"/>
        <v>Unfilled fields to left</v>
      </c>
      <c r="U17" s="25"/>
      <c r="V17" s="12"/>
    </row>
    <row r="18" spans="2:26">
      <c r="C18" s="17"/>
      <c r="D18" s="17"/>
      <c r="E18" s="534"/>
      <c r="F18" s="26"/>
      <c r="G18" s="27"/>
      <c r="H18" s="22"/>
      <c r="I18" s="22"/>
      <c r="J18" s="41"/>
      <c r="K18" s="41"/>
      <c r="L18" s="41"/>
      <c r="P18" s="41"/>
      <c r="Q18" s="41"/>
      <c r="R18" s="41"/>
      <c r="S18" s="41"/>
      <c r="U18" s="27"/>
      <c r="V18" s="12"/>
    </row>
    <row r="19" spans="2:26">
      <c r="B19" s="149" t="s">
        <v>637</v>
      </c>
      <c r="C19" s="149"/>
      <c r="D19" s="149"/>
      <c r="E19" s="308"/>
      <c r="F19" s="149"/>
      <c r="G19" s="149"/>
      <c r="H19" s="149"/>
      <c r="I19" s="149"/>
      <c r="J19" s="308"/>
      <c r="K19" s="308"/>
      <c r="L19" s="308"/>
      <c r="N19"/>
      <c r="O19"/>
      <c r="P19" s="40"/>
      <c r="Q19" s="40"/>
      <c r="R19" s="40"/>
      <c r="S19" s="40"/>
      <c r="T19" s="19"/>
      <c r="U19" s="19"/>
      <c r="V19" s="19"/>
      <c r="W19" s="19"/>
      <c r="X19" s="19"/>
      <c r="Y19" s="19"/>
      <c r="Z19" s="19"/>
    </row>
    <row r="20" spans="2:26">
      <c r="B20" s="16" t="s">
        <v>638</v>
      </c>
      <c r="C20" s="188" t="s">
        <v>685</v>
      </c>
      <c r="D20" s="183" t="s">
        <v>582</v>
      </c>
      <c r="E20" s="35"/>
      <c r="F20" s="21"/>
      <c r="G20" s="21"/>
      <c r="H20" s="21"/>
      <c r="I20" s="21"/>
      <c r="J20" s="307"/>
      <c r="K20" s="313"/>
      <c r="L20" s="247">
        <f t="shared" ref="L20:L31" si="4">IF($D20="MWh/yr (LHV)",$E20,$J20*$E20/Conversion_kWh_to_MJ)</f>
        <v>0</v>
      </c>
      <c r="N20" s="251" t="str">
        <f>IFERROR(L20/L8,"")</f>
        <v/>
      </c>
      <c r="O20" s="250" t="str">
        <f>IFERROR(L20/(SUM($L$20:$L$22)),"")</f>
        <v/>
      </c>
      <c r="P20" s="42"/>
      <c r="Q20" s="42"/>
      <c r="R20" s="42"/>
      <c r="S20" s="42"/>
      <c r="U20" s="21"/>
      <c r="V20" s="12"/>
    </row>
    <row r="21" spans="2:26" s="14" customFormat="1">
      <c r="B21" s="190" t="s">
        <v>583</v>
      </c>
      <c r="C21" s="188" t="s">
        <v>804</v>
      </c>
      <c r="D21" s="183" t="s">
        <v>582</v>
      </c>
      <c r="E21" s="35"/>
      <c r="F21" s="21"/>
      <c r="G21" s="21"/>
      <c r="H21" s="20"/>
      <c r="I21" s="33"/>
      <c r="J21" s="307"/>
      <c r="K21" s="309"/>
      <c r="L21" s="247">
        <f t="shared" si="4"/>
        <v>0</v>
      </c>
      <c r="M21" s="12"/>
      <c r="N21" s="12"/>
      <c r="O21" s="250" t="str">
        <f t="shared" ref="O21:O22" si="5">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4"/>
        <v>0</v>
      </c>
      <c r="M22" s="12"/>
      <c r="N22" s="12"/>
      <c r="O22" s="250" t="str">
        <f t="shared" si="5"/>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4"/>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4"/>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4"/>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4"/>
        <v>0</v>
      </c>
      <c r="M26" s="12"/>
      <c r="N26" s="12"/>
      <c r="O26" s="12"/>
      <c r="P26" s="110"/>
      <c r="Q26" s="110"/>
      <c r="R26" s="110"/>
      <c r="S26" s="12"/>
      <c r="U26" s="21"/>
    </row>
    <row r="27" spans="2:26" s="14" customFormat="1">
      <c r="B27" s="190" t="s">
        <v>611</v>
      </c>
      <c r="C27" s="188" t="s">
        <v>820</v>
      </c>
      <c r="D27" s="183" t="s">
        <v>582</v>
      </c>
      <c r="E27" s="35"/>
      <c r="F27" s="34"/>
      <c r="G27" s="21"/>
      <c r="H27" s="20"/>
      <c r="I27" s="36"/>
      <c r="J27" s="307"/>
      <c r="K27" s="309"/>
      <c r="L27" s="247">
        <f t="shared" si="4"/>
        <v>0</v>
      </c>
      <c r="M27" s="12"/>
      <c r="N27" s="12"/>
      <c r="O27" s="12"/>
      <c r="P27" s="35">
        <v>1000</v>
      </c>
      <c r="Q27" s="546"/>
      <c r="R27" s="35" t="s">
        <v>821</v>
      </c>
      <c r="S27" s="247"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4"/>
        <v>0</v>
      </c>
      <c r="M28" s="12"/>
      <c r="N28" s="12"/>
      <c r="O28" s="12"/>
      <c r="P28" s="35">
        <v>28000</v>
      </c>
      <c r="Q28" s="546"/>
      <c r="R28" s="35" t="s">
        <v>651</v>
      </c>
      <c r="S28" s="247" t="str">
        <f>IFERROR(IF(D28="tonnes/yr", $P28*$E28/($L$20*3.6), $Q28*$E28*3.6/($L$20*3.6)), "Unfilled fields to left")</f>
        <v>Unfilled fields to left</v>
      </c>
      <c r="U28" s="21"/>
    </row>
    <row r="29" spans="2:26" s="14" customFormat="1">
      <c r="B29" s="190" t="s">
        <v>640</v>
      </c>
      <c r="C29" s="188" t="s">
        <v>824</v>
      </c>
      <c r="D29" s="183" t="s">
        <v>582</v>
      </c>
      <c r="E29" s="35"/>
      <c r="F29" s="21"/>
      <c r="G29" s="21"/>
      <c r="H29" s="20"/>
      <c r="I29" s="36"/>
      <c r="J29" s="307"/>
      <c r="K29" s="309"/>
      <c r="L29" s="247">
        <f t="shared" si="4"/>
        <v>0</v>
      </c>
      <c r="M29" s="12"/>
      <c r="N29" s="12"/>
      <c r="O29" s="12"/>
      <c r="P29" s="35">
        <v>265000</v>
      </c>
      <c r="Q29" s="546"/>
      <c r="R29" s="35" t="s">
        <v>651</v>
      </c>
      <c r="S29" s="247"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4"/>
        <v>0</v>
      </c>
      <c r="M30" s="12"/>
      <c r="N30" s="12"/>
      <c r="O30" s="12"/>
      <c r="P30" s="307"/>
      <c r="Q30" s="505"/>
      <c r="R30" s="309"/>
      <c r="S30" s="247" t="str">
        <f>IFERROR(IF(D30="tonnes/yr", $P30*$E30/($L$20*3.6), $Q30*$E30*3.6/($L$20*3.6)), "Unfilled fields to left")</f>
        <v>Unfilled fields to left</v>
      </c>
      <c r="U30" s="21"/>
    </row>
    <row r="31" spans="2:26" s="14" customFormat="1">
      <c r="B31" s="16"/>
      <c r="C31" s="15"/>
      <c r="D31" s="183"/>
      <c r="E31" s="35"/>
      <c r="F31" s="21"/>
      <c r="G31" s="21"/>
      <c r="H31" s="20"/>
      <c r="I31" s="36"/>
      <c r="J31" s="307"/>
      <c r="K31" s="309"/>
      <c r="L31" s="247">
        <f t="shared" si="4"/>
        <v>0</v>
      </c>
      <c r="M31" s="12"/>
      <c r="N31" s="12"/>
      <c r="O31" s="12"/>
      <c r="P31" s="307"/>
      <c r="Q31" s="505"/>
      <c r="R31" s="309"/>
      <c r="S31" s="247"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40"/>
      <c r="V32" s="12"/>
    </row>
    <row r="33" spans="2:22">
      <c r="D33" s="17"/>
      <c r="E33" s="144"/>
      <c r="J33" s="39"/>
      <c r="K33" s="39"/>
      <c r="M33" s="12"/>
      <c r="P33" s="39"/>
      <c r="Q33" s="39"/>
      <c r="R33" s="38" t="s">
        <v>641</v>
      </c>
      <c r="S33" s="157">
        <f>SUM(S7:S32)</f>
        <v>0</v>
      </c>
      <c r="V33" s="12"/>
    </row>
    <row r="34" spans="2:22">
      <c r="B34" s="149" t="s">
        <v>94</v>
      </c>
      <c r="C34" s="163"/>
      <c r="D34" s="163"/>
      <c r="E34" s="527"/>
      <c r="I34" s="12"/>
      <c r="J34" s="110"/>
      <c r="K34" s="110"/>
      <c r="L34" s="110"/>
      <c r="M34" s="12"/>
      <c r="P34" s="110"/>
      <c r="Q34" s="110"/>
      <c r="R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t="s">
        <v>709</v>
      </c>
      <c r="C36" s="15" t="s">
        <v>710</v>
      </c>
      <c r="D36" s="15" t="s">
        <v>222</v>
      </c>
      <c r="E36" s="529"/>
      <c r="H36" s="12"/>
      <c r="I36" s="12"/>
      <c r="J36" s="110"/>
      <c r="K36" s="110"/>
      <c r="L36" s="110"/>
      <c r="M36" s="12"/>
      <c r="P36" s="110"/>
      <c r="Q36" s="110"/>
      <c r="R36" s="110"/>
      <c r="S36" s="12"/>
      <c r="U36" s="25"/>
      <c r="V36" s="12"/>
    </row>
    <row r="37" spans="2:22">
      <c r="B37" s="16"/>
      <c r="C37" s="15"/>
      <c r="D37" s="15"/>
      <c r="E37" s="535"/>
      <c r="J37" s="39"/>
      <c r="K37" s="39"/>
      <c r="P37" s="39"/>
      <c r="Q37" s="39"/>
      <c r="R37" s="39"/>
      <c r="U37" s="25"/>
    </row>
    <row r="38" spans="2:22">
      <c r="B38" s="16"/>
      <c r="C38" s="15"/>
      <c r="D38" s="15"/>
      <c r="E38" s="535"/>
      <c r="J38" s="39"/>
      <c r="K38" s="39"/>
      <c r="P38" s="39"/>
      <c r="Q38" s="39"/>
      <c r="R38" s="39"/>
      <c r="U38" s="25"/>
    </row>
    <row r="39" spans="2:22">
      <c r="E39" s="110"/>
      <c r="J39" s="39"/>
      <c r="K39" s="39"/>
      <c r="P39" s="39"/>
      <c r="Q39" s="39"/>
      <c r="R39" s="39"/>
    </row>
    <row r="40" spans="2:22">
      <c r="E40" s="110"/>
      <c r="J40" s="39"/>
      <c r="K40" s="39"/>
      <c r="P40" s="39"/>
      <c r="Q40" s="39"/>
      <c r="R40" s="39"/>
    </row>
    <row r="41" spans="2:22">
      <c r="E41" s="110"/>
      <c r="J41" s="39"/>
      <c r="K41" s="39"/>
      <c r="P41" s="39"/>
      <c r="Q41" s="39"/>
      <c r="R41" s="39"/>
    </row>
    <row r="42" spans="2:22">
      <c r="E42" s="110"/>
      <c r="J42" s="39"/>
      <c r="K42" s="39"/>
      <c r="P42" s="39"/>
      <c r="Q42" s="39"/>
      <c r="R42" s="39"/>
    </row>
    <row r="43" spans="2:22">
      <c r="E43" s="110"/>
      <c r="J43" s="39"/>
      <c r="K43" s="39"/>
      <c r="P43" s="39"/>
      <c r="Q43" s="39"/>
      <c r="R43" s="39"/>
    </row>
    <row r="44" spans="2:22">
      <c r="E44" s="110"/>
      <c r="J44" s="39"/>
      <c r="K44" s="39"/>
      <c r="P44" s="39"/>
      <c r="Q44" s="39"/>
      <c r="R44" s="39"/>
    </row>
    <row r="45" spans="2:22">
      <c r="E45" s="110"/>
      <c r="J45" s="39"/>
      <c r="K45" s="39"/>
      <c r="P45" s="39"/>
      <c r="Q45" s="39"/>
      <c r="R45" s="39"/>
    </row>
    <row r="46" spans="2:22">
      <c r="E46" s="110"/>
      <c r="J46" s="39"/>
      <c r="K46" s="39"/>
      <c r="P46" s="39"/>
      <c r="Q46" s="39"/>
      <c r="R46" s="39"/>
    </row>
    <row r="47" spans="2:22">
      <c r="E47" s="110"/>
      <c r="J47" s="39"/>
      <c r="K47" s="39"/>
      <c r="P47" s="39"/>
      <c r="Q47" s="39"/>
      <c r="R47" s="39"/>
    </row>
    <row r="48" spans="2:22">
      <c r="E48" s="110"/>
      <c r="J48" s="39"/>
      <c r="K48" s="39"/>
      <c r="P48" s="39"/>
      <c r="Q48" s="39"/>
      <c r="R48" s="39"/>
    </row>
    <row r="49" spans="5:18">
      <c r="E49" s="110"/>
      <c r="J49" s="39"/>
      <c r="K49" s="39"/>
      <c r="P49" s="39"/>
      <c r="Q49" s="39"/>
      <c r="R49" s="39"/>
    </row>
    <row r="50" spans="5:18">
      <c r="E50" s="110"/>
      <c r="J50" s="39"/>
      <c r="K50" s="39"/>
      <c r="P50" s="39"/>
      <c r="Q50" s="39"/>
      <c r="R50" s="39"/>
    </row>
    <row r="51" spans="5:18">
      <c r="E51" s="110"/>
      <c r="J51" s="39"/>
      <c r="K51" s="39"/>
      <c r="P51" s="39"/>
      <c r="Q51" s="39"/>
      <c r="R51" s="39"/>
    </row>
    <row r="52" spans="5:18">
      <c r="E52" s="110"/>
      <c r="J52" s="39"/>
      <c r="K52" s="39"/>
      <c r="P52" s="39"/>
      <c r="Q52" s="39"/>
      <c r="R52" s="39"/>
    </row>
    <row r="53" spans="5:18">
      <c r="E53" s="110"/>
      <c r="J53" s="39"/>
      <c r="K53" s="39"/>
      <c r="P53" s="39"/>
      <c r="Q53" s="39"/>
      <c r="R53" s="39"/>
    </row>
    <row r="54" spans="5:18">
      <c r="E54" s="110"/>
      <c r="J54" s="39"/>
      <c r="K54" s="39"/>
      <c r="P54" s="39"/>
      <c r="Q54" s="39"/>
      <c r="R54" s="39"/>
    </row>
    <row r="55" spans="5:18">
      <c r="E55" s="110"/>
      <c r="J55" s="39"/>
      <c r="K55" s="39"/>
      <c r="P55" s="39"/>
      <c r="Q55" s="39"/>
      <c r="R55" s="39"/>
    </row>
    <row r="56" spans="5:18">
      <c r="E56" s="110"/>
      <c r="J56" s="39"/>
      <c r="K56" s="39"/>
      <c r="P56" s="39"/>
      <c r="Q56" s="39"/>
      <c r="R56" s="39"/>
    </row>
    <row r="57" spans="5:18">
      <c r="E57" s="110"/>
      <c r="J57" s="39"/>
      <c r="K57" s="39"/>
      <c r="P57" s="39"/>
      <c r="Q57" s="39"/>
      <c r="R57" s="39"/>
    </row>
    <row r="58" spans="5:18">
      <c r="E58" s="110"/>
      <c r="J58" s="39"/>
      <c r="K58" s="39"/>
      <c r="P58" s="39"/>
      <c r="Q58" s="39"/>
      <c r="R58" s="39"/>
    </row>
    <row r="59" spans="5:18">
      <c r="E59" s="110"/>
      <c r="J59" s="39"/>
      <c r="K59" s="39"/>
      <c r="P59" s="39"/>
      <c r="Q59" s="39"/>
      <c r="R59" s="39"/>
    </row>
    <row r="60" spans="5:18">
      <c r="E60" s="110"/>
      <c r="J60" s="39"/>
      <c r="K60" s="39"/>
      <c r="P60" s="39"/>
      <c r="Q60" s="39"/>
      <c r="R60" s="39"/>
    </row>
    <row r="61" spans="5:18">
      <c r="E61" s="110"/>
      <c r="J61" s="39"/>
      <c r="K61" s="39"/>
      <c r="P61" s="39"/>
      <c r="Q61" s="39"/>
      <c r="R61" s="39"/>
    </row>
    <row r="62" spans="5:18">
      <c r="E62" s="110"/>
      <c r="J62" s="39"/>
      <c r="K62" s="39"/>
      <c r="P62" s="39"/>
      <c r="Q62" s="39"/>
      <c r="R62" s="39"/>
    </row>
    <row r="63" spans="5:18">
      <c r="E63" s="110"/>
      <c r="J63" s="39"/>
      <c r="K63" s="39"/>
      <c r="P63" s="39"/>
      <c r="Q63" s="39"/>
      <c r="R63" s="39"/>
    </row>
    <row r="64" spans="5:18">
      <c r="E64" s="110"/>
      <c r="J64" s="39"/>
      <c r="K64" s="39"/>
      <c r="P64" s="39"/>
      <c r="Q64" s="39"/>
      <c r="R64" s="39"/>
    </row>
    <row r="65" spans="5:18">
      <c r="E65" s="110"/>
      <c r="J65" s="39"/>
      <c r="K65" s="39"/>
      <c r="P65" s="39"/>
      <c r="Q65" s="39"/>
      <c r="R65" s="39"/>
    </row>
    <row r="66" spans="5:18">
      <c r="E66" s="110"/>
      <c r="J66" s="39"/>
      <c r="K66" s="39"/>
      <c r="P66" s="39"/>
      <c r="Q66" s="39"/>
      <c r="R66" s="39"/>
    </row>
    <row r="67" spans="5:18">
      <c r="E67" s="110"/>
      <c r="J67" s="39"/>
      <c r="K67" s="39"/>
      <c r="P67" s="39"/>
      <c r="Q67" s="39"/>
      <c r="R67" s="39"/>
    </row>
    <row r="68" spans="5:18">
      <c r="E68" s="110"/>
      <c r="J68" s="39"/>
      <c r="K68" s="39"/>
      <c r="P68" s="39"/>
      <c r="Q68" s="39"/>
      <c r="R68" s="39"/>
    </row>
    <row r="69" spans="5:18">
      <c r="E69" s="110"/>
      <c r="J69" s="39"/>
      <c r="K69" s="39"/>
      <c r="P69" s="39"/>
      <c r="Q69" s="39"/>
      <c r="R69" s="39"/>
    </row>
    <row r="70" spans="5:18">
      <c r="E70" s="110"/>
      <c r="J70" s="39"/>
      <c r="K70" s="39"/>
      <c r="P70" s="39"/>
      <c r="Q70" s="39"/>
      <c r="R70" s="39"/>
    </row>
    <row r="71" spans="5:18">
      <c r="E71" s="110"/>
      <c r="J71" s="39"/>
      <c r="K71" s="39"/>
      <c r="P71" s="39"/>
      <c r="Q71" s="39"/>
      <c r="R71" s="39"/>
    </row>
    <row r="72" spans="5:18">
      <c r="E72" s="110"/>
      <c r="J72" s="39"/>
      <c r="K72" s="39"/>
      <c r="P72" s="39"/>
      <c r="Q72" s="39"/>
      <c r="R72" s="39"/>
    </row>
    <row r="73" spans="5:18">
      <c r="E73" s="110"/>
      <c r="J73" s="39"/>
      <c r="K73" s="39"/>
      <c r="P73" s="39"/>
      <c r="Q73" s="39"/>
      <c r="R73" s="39"/>
    </row>
    <row r="74" spans="5:18">
      <c r="E74" s="110"/>
      <c r="J74" s="39"/>
      <c r="K74" s="39"/>
      <c r="P74" s="39"/>
      <c r="Q74" s="39"/>
      <c r="R74" s="39"/>
    </row>
    <row r="75" spans="5:18">
      <c r="E75" s="110"/>
      <c r="J75" s="39"/>
      <c r="K75" s="39"/>
      <c r="P75" s="39"/>
      <c r="Q75" s="39"/>
      <c r="R75" s="39"/>
    </row>
    <row r="76" spans="5:18">
      <c r="E76" s="110"/>
      <c r="J76" s="39"/>
      <c r="K76" s="39"/>
      <c r="P76" s="39"/>
      <c r="Q76" s="39"/>
      <c r="R76" s="39"/>
    </row>
    <row r="77" spans="5:18">
      <c r="E77" s="110"/>
      <c r="J77" s="39"/>
      <c r="K77" s="39"/>
      <c r="P77" s="39"/>
      <c r="Q77" s="39"/>
      <c r="R77" s="39"/>
    </row>
    <row r="78" spans="5:18">
      <c r="E78" s="110"/>
      <c r="J78" s="39"/>
      <c r="K78" s="39"/>
      <c r="P78" s="39"/>
      <c r="Q78" s="39"/>
      <c r="R78" s="39"/>
    </row>
    <row r="79" spans="5:18">
      <c r="E79" s="110"/>
      <c r="J79" s="39"/>
      <c r="K79" s="39"/>
      <c r="P79" s="39"/>
      <c r="Q79" s="39"/>
      <c r="R79" s="39"/>
    </row>
    <row r="80" spans="5:18">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sheetData>
  <customSheetViews>
    <customSheetView guid="{43B6AE9C-E429-4506-98F3-C388B54AB8B6}" showGridLines="0">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1" xr:uid="{4D40DF06-8074-45B7-B099-9F7A53B442E9}">
      <formula1>Flow_units</formula1>
    </dataValidation>
    <dataValidation type="custom" allowBlank="1" showInputMessage="1" showErrorMessage="1" error="Please do not change this formula" prompt="Please do not change this formula" sqref="N6:O1048576 T4 L1:L1048576 M4 N1:O4 S1:S4 S6:S1048576 N5:S5" xr:uid="{A0862A00-CD26-42C1-AE68-2E8586E4BCDF}">
      <formula1>"Please do not change this formula"</formula1>
    </dataValidation>
  </dataValidations>
  <hyperlinks>
    <hyperlink ref="I2:J2" location="'Waste Gasification (+CCS)'!A1" display="Go to the next step of this pathway" xr:uid="{C1CA7BCB-3305-4D8C-B2B9-CA5611FCF6B4}"/>
    <hyperlink ref="I2:K2" location="Waste_Gasification_CCS!A1" display="Go to the next step of this pathway" xr:uid="{5602B993-1F8F-4B48-8B12-BEE4A30FD0C7}"/>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5" id="{5328CE8F-9A64-4738-ACC4-ED58B78C0707}">
            <xm:f>AND(Initial_questions!$E$21&lt;&gt;"Waste Gasification with CCS",Initial_questions!$E$21&lt;&gt;"Waste Gasification without CCS",Master_Switch="On")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5" id="{FC4C381B-0193-4FE0-B35F-8937C6233F05}">
            <xm:f>AND(OR(GHG_WASTE_GASIFICATION!$D$5="Default",GHG_WASTE_GASIFICATION!$D$26="Default"),Master_Switch="On")</xm:f>
            <x14:dxf>
              <font>
                <color theme="0"/>
              </font>
              <fill>
                <patternFill>
                  <bgColor theme="0"/>
                </patternFill>
              </fill>
              <border>
                <left/>
                <right/>
                <top/>
                <bottom/>
                <vertical/>
                <horizontal/>
              </border>
            </x14:dxf>
          </x14:cfRule>
          <xm:sqref>A4:XFD100</xm:sqref>
        </x14:conditionalFormatting>
      </x14:conditionalFormatting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907C6-176E-41EA-8ADF-601E7AE18E62}">
  <sheetPr codeName="Sheet39">
    <tabColor theme="7" tint="0.59999389629810485"/>
  </sheetPr>
  <dimension ref="A1:Z273"/>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480"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8.44140625" style="12" customWidth="1"/>
    <col min="21" max="21" width="26" style="12" customWidth="1"/>
    <col min="23" max="16384" width="7.109375" style="12"/>
  </cols>
  <sheetData>
    <row r="1" spans="1:25" ht="31.8" customHeight="1">
      <c r="A1" s="83" t="str">
        <f>IF(AND(Initial_questions!$E$21&lt;&gt;"Waste Gasification with CCS",Initial_questions!$E$21&lt;&gt;"Waste Gasification without CCS",Master_Switch="On"),"User should not fill in this sheet, but switch to other non-blank GHG worksheets","")</f>
        <v>User should not fill in this sheet, but switch to other non-blank GHG worksheets</v>
      </c>
      <c r="E1" s="262"/>
    </row>
    <row r="2" spans="1:25" ht="20.399999999999999" customHeight="1">
      <c r="E2" s="262"/>
      <c r="I2" s="669" t="s">
        <v>754</v>
      </c>
      <c r="J2" s="671"/>
      <c r="K2" s="672"/>
    </row>
    <row r="3" spans="1:25" ht="15" customHeight="1">
      <c r="E3" s="262"/>
    </row>
    <row r="4" spans="1:25" ht="15.6" customHeight="1" thickBot="1">
      <c r="B4" s="3"/>
      <c r="C4" s="3"/>
      <c r="D4" s="3"/>
      <c r="E4" s="478"/>
      <c r="F4" s="3"/>
      <c r="G4" s="3"/>
      <c r="H4" s="1"/>
      <c r="I4" s="1"/>
      <c r="J4" s="1"/>
      <c r="K4" s="1"/>
      <c r="L4" s="37"/>
      <c r="M4" s="1"/>
      <c r="N4" s="1"/>
      <c r="O4" s="3"/>
      <c r="P4" s="1"/>
      <c r="Q4" s="1"/>
      <c r="R4" s="1"/>
      <c r="S4" s="37"/>
      <c r="T4" s="37"/>
      <c r="U4" s="37"/>
    </row>
    <row r="5" spans="1:25"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5" ht="15" thickTop="1"/>
    <row r="7" spans="1:25">
      <c r="B7" s="149" t="s">
        <v>578</v>
      </c>
      <c r="C7" s="149"/>
      <c r="D7" s="149"/>
      <c r="E7" s="332"/>
      <c r="F7" s="149"/>
      <c r="G7" s="149"/>
      <c r="H7" s="149"/>
      <c r="I7" s="149"/>
      <c r="J7" s="149"/>
      <c r="K7" s="149"/>
      <c r="L7" s="308"/>
      <c r="P7" s="18"/>
      <c r="Q7" s="18"/>
      <c r="R7" s="18"/>
      <c r="S7" s="40"/>
      <c r="V7" s="12"/>
    </row>
    <row r="8" spans="1:25">
      <c r="B8" s="16" t="s">
        <v>579</v>
      </c>
      <c r="C8" s="188" t="s">
        <v>685</v>
      </c>
      <c r="D8" s="183" t="s">
        <v>582</v>
      </c>
      <c r="E8" s="35"/>
      <c r="F8" s="24"/>
      <c r="G8" s="21"/>
      <c r="H8" s="21"/>
      <c r="I8" s="21"/>
      <c r="J8" s="35"/>
      <c r="K8" s="313"/>
      <c r="L8" s="247">
        <f t="shared" ref="L8:L17" si="0">IF($D8="MWh/yr (LHV)",$E8,$J8*$E8/Conversion_kWh_to_MJ)</f>
        <v>0</v>
      </c>
      <c r="M8" s="12"/>
      <c r="P8" s="40"/>
      <c r="Q8" s="40"/>
      <c r="R8" s="40"/>
      <c r="S8" s="40"/>
      <c r="U8" s="21"/>
      <c r="V8" s="12"/>
    </row>
    <row r="9" spans="1:25">
      <c r="B9" s="16" t="s">
        <v>581</v>
      </c>
      <c r="C9" s="15" t="s">
        <v>686</v>
      </c>
      <c r="D9" s="15" t="s">
        <v>582</v>
      </c>
      <c r="E9" s="35">
        <f>Hydrogen_flow</f>
        <v>0</v>
      </c>
      <c r="F9" s="21"/>
      <c r="G9" s="21"/>
      <c r="H9" s="21"/>
      <c r="I9" s="21"/>
      <c r="J9" s="35">
        <v>120</v>
      </c>
      <c r="K9" s="313"/>
      <c r="L9" s="247">
        <f t="shared" si="0"/>
        <v>0</v>
      </c>
      <c r="M9" s="12"/>
      <c r="N9" s="249" t="str">
        <f>IFERROR(L9/L8,"")</f>
        <v/>
      </c>
      <c r="O9" s="250" t="str">
        <f>IFERROR(L9/(SUM($L$9:$L$18)),"")</f>
        <v/>
      </c>
      <c r="P9" s="42"/>
      <c r="Q9" s="42"/>
      <c r="R9" s="42"/>
      <c r="S9" s="12"/>
      <c r="U9" s="21"/>
      <c r="V9" s="12"/>
    </row>
    <row r="10" spans="1:25">
      <c r="B10" s="190" t="s">
        <v>583</v>
      </c>
      <c r="C10" s="188" t="s">
        <v>584</v>
      </c>
      <c r="D10" s="183" t="s">
        <v>747</v>
      </c>
      <c r="E10" s="35"/>
      <c r="F10" s="21"/>
      <c r="G10" s="21"/>
      <c r="H10" s="20"/>
      <c r="I10" s="33"/>
      <c r="J10" s="307"/>
      <c r="K10" s="309"/>
      <c r="L10" s="247">
        <f t="shared" si="0"/>
        <v>0</v>
      </c>
      <c r="M10" s="12"/>
      <c r="O10" s="250" t="str">
        <f>IFERROR(L10/(SUM($L$9:$L$18)),"")</f>
        <v/>
      </c>
      <c r="P10" s="42"/>
      <c r="Q10" s="42"/>
      <c r="R10" s="42"/>
      <c r="S10" s="19"/>
      <c r="T10" s="23"/>
      <c r="U10" s="21"/>
      <c r="V10" s="12"/>
    </row>
    <row r="11" spans="1:25">
      <c r="B11" s="190" t="s">
        <v>583</v>
      </c>
      <c r="C11" s="188" t="s">
        <v>646</v>
      </c>
      <c r="D11" s="183" t="s">
        <v>747</v>
      </c>
      <c r="E11" s="35"/>
      <c r="F11" s="21"/>
      <c r="G11" s="21"/>
      <c r="H11" s="20"/>
      <c r="I11" s="20"/>
      <c r="J11" s="309"/>
      <c r="K11" s="309"/>
      <c r="L11" s="247">
        <f t="shared" si="0"/>
        <v>0</v>
      </c>
      <c r="M11" s="12"/>
      <c r="O11" s="250" t="str">
        <f>IFERROR(L11/(SUM($L$9:$L$18)),"")</f>
        <v/>
      </c>
      <c r="P11" s="42"/>
      <c r="Q11" s="42"/>
      <c r="R11" s="42"/>
      <c r="S11" s="14"/>
      <c r="T11" s="23"/>
      <c r="U11" s="21"/>
      <c r="V11" s="12"/>
    </row>
    <row r="12" spans="1:25">
      <c r="B12" s="190" t="s">
        <v>583</v>
      </c>
      <c r="C12" s="188" t="s">
        <v>805</v>
      </c>
      <c r="D12" s="183" t="s">
        <v>582</v>
      </c>
      <c r="E12" s="35"/>
      <c r="F12" s="21"/>
      <c r="G12" s="21"/>
      <c r="H12" s="20"/>
      <c r="I12" s="20"/>
      <c r="J12" s="309"/>
      <c r="K12" s="309"/>
      <c r="L12" s="247">
        <f t="shared" si="0"/>
        <v>0</v>
      </c>
      <c r="M12" s="12"/>
      <c r="O12" s="250" t="str">
        <f>IFERROR(L12/(SUM($L$9:$L$18)),"")</f>
        <v/>
      </c>
      <c r="P12" s="40"/>
      <c r="Q12" s="40"/>
      <c r="R12" s="40"/>
      <c r="S12" s="40"/>
      <c r="U12" s="21"/>
      <c r="V12" s="12"/>
    </row>
    <row r="13" spans="1:25">
      <c r="B13" s="190" t="s">
        <v>583</v>
      </c>
      <c r="C13" s="188" t="s">
        <v>806</v>
      </c>
      <c r="D13" s="183" t="s">
        <v>582</v>
      </c>
      <c r="E13" s="35"/>
      <c r="F13" s="21"/>
      <c r="G13" s="21"/>
      <c r="H13" s="20"/>
      <c r="I13" s="20"/>
      <c r="J13" s="309"/>
      <c r="K13" s="309"/>
      <c r="L13" s="247">
        <f t="shared" si="0"/>
        <v>0</v>
      </c>
      <c r="M13" s="12"/>
      <c r="O13" s="250" t="str">
        <f>IFERROR(L13/(SUM($L$9:$L$18)),"")</f>
        <v/>
      </c>
      <c r="P13" s="40"/>
      <c r="Q13" s="40"/>
      <c r="R13" s="40"/>
      <c r="S13" s="40"/>
      <c r="U13" s="21"/>
      <c r="V13" s="12"/>
    </row>
    <row r="14" spans="1:25" s="14" customFormat="1">
      <c r="B14" s="190" t="s">
        <v>586</v>
      </c>
      <c r="C14" s="188" t="s">
        <v>587</v>
      </c>
      <c r="D14" s="183" t="s">
        <v>582</v>
      </c>
      <c r="E14" s="35"/>
      <c r="F14" s="21"/>
      <c r="G14" s="21"/>
      <c r="H14" s="20"/>
      <c r="I14" s="20"/>
      <c r="J14" s="309"/>
      <c r="K14" s="309"/>
      <c r="L14" s="247">
        <f t="shared" si="0"/>
        <v>0</v>
      </c>
      <c r="M14" s="12"/>
      <c r="N14" s="12"/>
      <c r="O14" s="12"/>
      <c r="P14" s="110"/>
      <c r="Q14" s="110"/>
      <c r="R14" s="110"/>
      <c r="S14" s="12"/>
      <c r="T14" s="23"/>
      <c r="U14" s="21"/>
      <c r="V14" s="23"/>
      <c r="W14" s="42"/>
      <c r="Y14" s="12"/>
    </row>
    <row r="15" spans="1:25" s="14" customFormat="1">
      <c r="B15" s="190" t="s">
        <v>586</v>
      </c>
      <c r="C15" s="188" t="s">
        <v>588</v>
      </c>
      <c r="D15" s="183" t="s">
        <v>582</v>
      </c>
      <c r="E15" s="35"/>
      <c r="F15" s="21"/>
      <c r="G15" s="21"/>
      <c r="H15" s="20"/>
      <c r="I15" s="20"/>
      <c r="J15" s="309"/>
      <c r="K15" s="309"/>
      <c r="L15" s="247">
        <f t="shared" si="0"/>
        <v>0</v>
      </c>
      <c r="M15" s="12"/>
      <c r="N15" s="12"/>
      <c r="O15" s="12"/>
      <c r="P15" s="110"/>
      <c r="Q15" s="110"/>
      <c r="R15" s="110"/>
      <c r="S15" s="12"/>
      <c r="T15" s="23"/>
      <c r="U15" s="21"/>
      <c r="V15" s="23"/>
      <c r="W15" s="42"/>
      <c r="Y15" s="12"/>
    </row>
    <row r="16" spans="1:25" s="14" customFormat="1">
      <c r="B16" s="190" t="s">
        <v>589</v>
      </c>
      <c r="C16" s="188" t="s">
        <v>590</v>
      </c>
      <c r="D16" s="183" t="s">
        <v>582</v>
      </c>
      <c r="E16" s="35"/>
      <c r="F16" s="21"/>
      <c r="G16" s="21"/>
      <c r="H16" s="20"/>
      <c r="I16" s="36"/>
      <c r="J16" s="307"/>
      <c r="K16" s="309"/>
      <c r="L16" s="247">
        <f t="shared" si="0"/>
        <v>0</v>
      </c>
      <c r="M16" s="12"/>
      <c r="N16" s="12"/>
      <c r="O16" s="12"/>
      <c r="P16" s="110"/>
      <c r="Q16" s="110"/>
      <c r="R16" s="110"/>
      <c r="S16" s="12"/>
      <c r="U16" s="21"/>
    </row>
    <row r="17" spans="2:26" s="14" customFormat="1">
      <c r="B17" s="190" t="s">
        <v>589</v>
      </c>
      <c r="C17" s="188" t="s">
        <v>591</v>
      </c>
      <c r="D17" s="183" t="s">
        <v>582</v>
      </c>
      <c r="E17" s="35"/>
      <c r="F17" s="21"/>
      <c r="G17" s="21"/>
      <c r="H17" s="20"/>
      <c r="I17" s="36"/>
      <c r="J17" s="307"/>
      <c r="K17" s="309"/>
      <c r="L17" s="247">
        <f t="shared" si="0"/>
        <v>0</v>
      </c>
      <c r="M17" s="12"/>
      <c r="N17" s="12"/>
      <c r="O17" s="12"/>
      <c r="P17" s="110"/>
      <c r="Q17" s="110"/>
      <c r="R17" s="110"/>
      <c r="S17" s="370"/>
      <c r="U17" s="21"/>
    </row>
    <row r="18" spans="2:26">
      <c r="B18" s="71"/>
      <c r="C18" s="72"/>
      <c r="D18" s="81"/>
      <c r="E18" s="78"/>
      <c r="F18" s="79"/>
      <c r="G18" s="82"/>
      <c r="H18" s="74"/>
      <c r="I18" s="74"/>
      <c r="J18" s="78"/>
      <c r="K18" s="76"/>
      <c r="L18" s="76"/>
      <c r="M18" s="12"/>
      <c r="P18" s="40"/>
      <c r="Q18" s="40"/>
      <c r="R18" s="40"/>
      <c r="S18" s="12"/>
      <c r="U18" s="79"/>
      <c r="V18" s="12"/>
    </row>
    <row r="19" spans="2:26" ht="31.2">
      <c r="B19" s="83" t="str">
        <f>IF(AND(OR(GHG_WASTE_GASIFICATION!$D$9="Default",GHG_WASTE_GASIFICATION!$D$30="Default"),Master_Switch="On"),"Default data selected for the category below, move to the next category of the module","")</f>
        <v/>
      </c>
      <c r="C19" s="72"/>
      <c r="D19" s="81"/>
      <c r="E19" s="78"/>
      <c r="F19" s="79"/>
      <c r="G19" s="82"/>
      <c r="H19" s="74"/>
      <c r="I19" s="74"/>
      <c r="J19" s="78"/>
      <c r="K19" s="76"/>
      <c r="L19" s="76"/>
      <c r="M19" s="12"/>
      <c r="P19" s="40"/>
      <c r="Q19" s="40"/>
      <c r="R19" s="40"/>
      <c r="S19" s="370" t="s">
        <v>596</v>
      </c>
      <c r="U19" s="79"/>
      <c r="V19" s="12"/>
    </row>
    <row r="20" spans="2:26">
      <c r="B20" s="149" t="s">
        <v>890</v>
      </c>
      <c r="C20" s="150"/>
      <c r="D20" s="150"/>
      <c r="E20" s="151"/>
      <c r="F20" s="152"/>
      <c r="G20" s="153"/>
      <c r="H20" s="154"/>
      <c r="I20" s="154"/>
      <c r="J20" s="151"/>
      <c r="K20" s="520"/>
      <c r="L20" s="519"/>
      <c r="M20" s="155"/>
      <c r="N20" s="156"/>
      <c r="O20" s="156"/>
      <c r="P20" s="508" t="s">
        <v>865</v>
      </c>
      <c r="Q20" s="508" t="s">
        <v>865</v>
      </c>
      <c r="R20" s="508"/>
      <c r="S20" s="157">
        <f>SUM(S21:S30)</f>
        <v>0</v>
      </c>
      <c r="T20" s="94"/>
      <c r="V20" s="12"/>
    </row>
    <row r="21" spans="2:26">
      <c r="B21" s="190" t="s">
        <v>592</v>
      </c>
      <c r="C21" s="188" t="s">
        <v>682</v>
      </c>
      <c r="D21" s="183" t="s">
        <v>747</v>
      </c>
      <c r="E21" s="35"/>
      <c r="F21" s="24"/>
      <c r="G21" s="21"/>
      <c r="H21" s="21"/>
      <c r="I21" s="21"/>
      <c r="J21" s="310"/>
      <c r="K21" s="313"/>
      <c r="L21" s="247">
        <f t="shared" ref="L21:L30" si="1">IF($D21="MWh/yr (LHV)",$E21,$J21*$E21/Conversion_kWh_to_MJ)</f>
        <v>0</v>
      </c>
      <c r="M21" s="12"/>
      <c r="P21" s="307" t="str">
        <f t="shared" ref="P21:P30" si="2">IF(B21="", "", IF(D21="MWh/yr (LHV)", "Use column to right", "Enter data here"))</f>
        <v>Use column to right</v>
      </c>
      <c r="Q21" s="307" t="e">
        <f>IF(B21="", "", IF(D21="MWh/yr (LHV)", Initial_questions!$E$41*1000/Conversion_kWh_to_MJ, "Use column to left"))</f>
        <v>#VALUE!</v>
      </c>
      <c r="R21" s="35" t="s">
        <v>799</v>
      </c>
      <c r="S21" s="248" t="str">
        <f t="shared" ref="S21:S30" si="3">IFERROR(IF(D21="tonnes/yr", $P21*$E21/($L$9*3.6), $Q21*$E21*3.6/($L$9*3.6)), "Unfilled fields to left")</f>
        <v>Unfilled fields to left</v>
      </c>
      <c r="U21" s="21"/>
      <c r="V21" s="12"/>
    </row>
    <row r="22" spans="2:26" s="14" customFormat="1">
      <c r="B22" s="190" t="s">
        <v>592</v>
      </c>
      <c r="C22" s="188" t="s">
        <v>597</v>
      </c>
      <c r="D22" s="183" t="s">
        <v>747</v>
      </c>
      <c r="E22" s="35"/>
      <c r="F22" s="24"/>
      <c r="G22" s="21"/>
      <c r="H22" s="66"/>
      <c r="I22" s="66"/>
      <c r="J22" s="311"/>
      <c r="K22" s="313"/>
      <c r="L22" s="247">
        <f t="shared" si="1"/>
        <v>0</v>
      </c>
      <c r="M22" s="19"/>
      <c r="N22" s="19"/>
      <c r="O22" s="19"/>
      <c r="P22" s="307" t="str">
        <f t="shared" si="2"/>
        <v>Use column to right</v>
      </c>
      <c r="Q22" s="307" t="str">
        <f t="shared" ref="Q22:Q30" si="4">IF(B22="", "", IF(D22="MWh/yr (LHV)", "Enter data here", "Use column to left"))</f>
        <v>Enter data here</v>
      </c>
      <c r="R22" s="35" t="s">
        <v>899</v>
      </c>
      <c r="S22" s="367" t="str">
        <f t="shared" si="3"/>
        <v>Unfilled fields to left</v>
      </c>
      <c r="U22" s="21"/>
    </row>
    <row r="23" spans="2:26" s="14" customFormat="1">
      <c r="B23" s="190" t="s">
        <v>592</v>
      </c>
      <c r="C23" s="188" t="s">
        <v>598</v>
      </c>
      <c r="D23" s="183" t="s">
        <v>747</v>
      </c>
      <c r="E23" s="35"/>
      <c r="F23" s="24"/>
      <c r="G23" s="21"/>
      <c r="H23" s="66"/>
      <c r="I23" s="66"/>
      <c r="J23" s="311"/>
      <c r="K23" s="313"/>
      <c r="L23" s="247">
        <f t="shared" si="1"/>
        <v>0</v>
      </c>
      <c r="M23" s="19"/>
      <c r="N23" s="19"/>
      <c r="O23" s="19"/>
      <c r="P23" s="545" t="str">
        <f t="shared" si="2"/>
        <v>Use column to right</v>
      </c>
      <c r="Q23" s="307" t="str">
        <f t="shared" si="4"/>
        <v>Enter data here</v>
      </c>
      <c r="R23" s="35" t="s">
        <v>899</v>
      </c>
      <c r="S23" s="367" t="str">
        <f t="shared" si="3"/>
        <v>Unfilled fields to left</v>
      </c>
      <c r="U23" s="68"/>
    </row>
    <row r="24" spans="2:26">
      <c r="B24" s="190" t="s">
        <v>599</v>
      </c>
      <c r="C24" s="188" t="s">
        <v>600</v>
      </c>
      <c r="D24" s="183" t="s">
        <v>582</v>
      </c>
      <c r="E24" s="35"/>
      <c r="F24" s="85"/>
      <c r="G24" s="21"/>
      <c r="H24" s="20"/>
      <c r="I24" s="36"/>
      <c r="J24" s="307"/>
      <c r="K24" s="309"/>
      <c r="L24" s="247">
        <f t="shared" si="1"/>
        <v>0</v>
      </c>
      <c r="M24" s="12"/>
      <c r="P24" s="307" t="str">
        <f t="shared" si="2"/>
        <v>Enter data here</v>
      </c>
      <c r="Q24" s="307" t="str">
        <f t="shared" si="4"/>
        <v>Use column to left</v>
      </c>
      <c r="R24" s="35" t="s">
        <v>899</v>
      </c>
      <c r="S24" s="367" t="str">
        <f t="shared" si="3"/>
        <v>Unfilled fields to left</v>
      </c>
      <c r="U24" s="25"/>
      <c r="V24" s="12"/>
    </row>
    <row r="25" spans="2:26">
      <c r="B25" s="190" t="s">
        <v>599</v>
      </c>
      <c r="C25" s="188" t="s">
        <v>601</v>
      </c>
      <c r="D25" s="183" t="s">
        <v>582</v>
      </c>
      <c r="E25" s="35"/>
      <c r="F25" s="21"/>
      <c r="G25" s="21"/>
      <c r="H25" s="20"/>
      <c r="I25" s="36"/>
      <c r="J25" s="307"/>
      <c r="K25" s="309"/>
      <c r="L25" s="247">
        <f t="shared" si="1"/>
        <v>0</v>
      </c>
      <c r="M25" s="12"/>
      <c r="P25" s="307" t="str">
        <f t="shared" si="2"/>
        <v>Enter data here</v>
      </c>
      <c r="Q25" s="307" t="str">
        <f t="shared" si="4"/>
        <v>Use column to left</v>
      </c>
      <c r="R25" s="35" t="s">
        <v>899</v>
      </c>
      <c r="S25" s="367" t="str">
        <f t="shared" si="3"/>
        <v>Unfilled fields to left</v>
      </c>
      <c r="U25" s="25"/>
      <c r="V25" s="12"/>
    </row>
    <row r="26" spans="2:26">
      <c r="B26" s="190" t="s">
        <v>599</v>
      </c>
      <c r="C26" s="188" t="s">
        <v>602</v>
      </c>
      <c r="D26" s="183" t="s">
        <v>582</v>
      </c>
      <c r="E26" s="35"/>
      <c r="F26" s="21"/>
      <c r="G26" s="21"/>
      <c r="H26" s="20"/>
      <c r="I26" s="36"/>
      <c r="J26" s="307"/>
      <c r="K26" s="309"/>
      <c r="L26" s="247">
        <f t="shared" si="1"/>
        <v>0</v>
      </c>
      <c r="M26" s="19"/>
      <c r="N26" s="19"/>
      <c r="O26" s="19"/>
      <c r="P26" s="307" t="str">
        <f t="shared" si="2"/>
        <v>Enter data here</v>
      </c>
      <c r="Q26" s="307" t="str">
        <f t="shared" si="4"/>
        <v>Use column to left</v>
      </c>
      <c r="R26" s="35" t="s">
        <v>899</v>
      </c>
      <c r="S26" s="367" t="str">
        <f t="shared" si="3"/>
        <v>Unfilled fields to left</v>
      </c>
      <c r="T26" s="19"/>
      <c r="U26" s="25"/>
      <c r="V26" s="19"/>
      <c r="W26" s="19"/>
      <c r="X26" s="19"/>
      <c r="Y26" s="19"/>
      <c r="Z26" s="19"/>
    </row>
    <row r="27" spans="2:26">
      <c r="B27" s="16"/>
      <c r="C27" s="15"/>
      <c r="D27" s="183"/>
      <c r="E27" s="35"/>
      <c r="F27" s="21"/>
      <c r="G27" s="21"/>
      <c r="H27" s="20"/>
      <c r="I27" s="36"/>
      <c r="J27" s="307"/>
      <c r="K27" s="309"/>
      <c r="L27" s="247">
        <f t="shared" si="1"/>
        <v>0</v>
      </c>
      <c r="M27" s="19"/>
      <c r="N27" s="19"/>
      <c r="O27" s="19"/>
      <c r="P27" s="307" t="str">
        <f t="shared" si="2"/>
        <v/>
      </c>
      <c r="Q27" s="307" t="str">
        <f t="shared" si="4"/>
        <v/>
      </c>
      <c r="R27" s="35"/>
      <c r="S27" s="367" t="str">
        <f t="shared" si="3"/>
        <v>Unfilled fields to left</v>
      </c>
      <c r="T27" s="19"/>
      <c r="U27" s="25"/>
      <c r="V27" s="19"/>
      <c r="W27" s="19"/>
      <c r="X27" s="19"/>
      <c r="Y27" s="19"/>
      <c r="Z27" s="19"/>
    </row>
    <row r="28" spans="2:26">
      <c r="B28" s="16"/>
      <c r="C28" s="15"/>
      <c r="D28" s="183"/>
      <c r="E28" s="35"/>
      <c r="F28" s="21"/>
      <c r="G28" s="21"/>
      <c r="H28" s="20"/>
      <c r="I28" s="36"/>
      <c r="J28" s="307"/>
      <c r="K28" s="309"/>
      <c r="L28" s="247">
        <f t="shared" si="1"/>
        <v>0</v>
      </c>
      <c r="M28" s="19"/>
      <c r="N28" s="19"/>
      <c r="O28" s="19"/>
      <c r="P28" s="307" t="str">
        <f t="shared" si="2"/>
        <v/>
      </c>
      <c r="Q28" s="307" t="str">
        <f t="shared" si="4"/>
        <v/>
      </c>
      <c r="R28" s="35"/>
      <c r="S28" s="367" t="str">
        <f t="shared" si="3"/>
        <v>Unfilled fields to left</v>
      </c>
      <c r="T28" s="19"/>
      <c r="U28" s="25"/>
      <c r="V28" s="19"/>
      <c r="W28" s="19"/>
      <c r="X28" s="19"/>
      <c r="Y28" s="19"/>
      <c r="Z28" s="19"/>
    </row>
    <row r="29" spans="2:26">
      <c r="B29" s="16"/>
      <c r="C29" s="15"/>
      <c r="D29" s="183"/>
      <c r="E29" s="35"/>
      <c r="F29" s="21"/>
      <c r="G29" s="21"/>
      <c r="H29" s="20"/>
      <c r="I29" s="36"/>
      <c r="J29" s="307"/>
      <c r="K29" s="309"/>
      <c r="L29" s="247">
        <f t="shared" si="1"/>
        <v>0</v>
      </c>
      <c r="M29" s="19"/>
      <c r="N29" s="19"/>
      <c r="O29" s="19"/>
      <c r="P29" s="307" t="str">
        <f t="shared" si="2"/>
        <v/>
      </c>
      <c r="Q29" s="307" t="str">
        <f t="shared" si="4"/>
        <v/>
      </c>
      <c r="R29" s="35"/>
      <c r="S29" s="367" t="str">
        <f t="shared" si="3"/>
        <v>Unfilled fields to left</v>
      </c>
      <c r="T29" s="19"/>
      <c r="U29" s="25"/>
      <c r="V29" s="19"/>
      <c r="W29" s="19"/>
      <c r="X29" s="19"/>
      <c r="Y29" s="19"/>
      <c r="Z29" s="19"/>
    </row>
    <row r="30" spans="2:26">
      <c r="B30" s="16"/>
      <c r="C30" s="15"/>
      <c r="D30" s="183"/>
      <c r="E30" s="35"/>
      <c r="F30" s="21"/>
      <c r="G30" s="21"/>
      <c r="H30" s="20"/>
      <c r="I30" s="36"/>
      <c r="J30" s="307"/>
      <c r="K30" s="309"/>
      <c r="L30" s="247">
        <f t="shared" si="1"/>
        <v>0</v>
      </c>
      <c r="M30" s="19"/>
      <c r="N30" s="19"/>
      <c r="O30" s="19"/>
      <c r="P30" s="307" t="str">
        <f t="shared" si="2"/>
        <v/>
      </c>
      <c r="Q30" s="307" t="str">
        <f t="shared" si="4"/>
        <v/>
      </c>
      <c r="R30" s="35"/>
      <c r="S30" s="367" t="str">
        <f t="shared" si="3"/>
        <v>Unfilled fields to left</v>
      </c>
      <c r="T30" s="19"/>
      <c r="U30" s="25"/>
      <c r="V30" s="19"/>
      <c r="W30" s="19"/>
      <c r="X30" s="19"/>
      <c r="Y30" s="19"/>
      <c r="Z30" s="19"/>
    </row>
    <row r="31" spans="2:26">
      <c r="C31" s="72"/>
      <c r="D31" s="72"/>
      <c r="E31" s="532"/>
      <c r="F31" s="73"/>
      <c r="G31" s="73"/>
      <c r="H31" s="74"/>
      <c r="I31" s="75"/>
      <c r="J31" s="78"/>
      <c r="K31" s="76"/>
      <c r="L31" s="76"/>
      <c r="M31" s="12"/>
      <c r="P31" s="78"/>
      <c r="Q31" s="76"/>
      <c r="R31" s="76"/>
      <c r="S31" s="76"/>
      <c r="U31" s="77"/>
      <c r="V31" s="12"/>
    </row>
    <row r="32" spans="2:26" ht="31.2">
      <c r="B32" s="83" t="str">
        <f>IF(AND(OR(GHG_WASTE_GASIFICATION!$D$10="Default",GHG_WASTE_GASIFICATION!$D$31="Default"),Master_Switch="On"),"Default data selected for the category below, move to the next category of the module","")</f>
        <v/>
      </c>
      <c r="C32" s="72"/>
      <c r="D32" s="72"/>
      <c r="E32" s="532"/>
      <c r="F32" s="73"/>
      <c r="G32" s="73"/>
      <c r="H32" s="74"/>
      <c r="I32" s="75"/>
      <c r="J32" s="78"/>
      <c r="K32" s="76"/>
      <c r="L32" s="76"/>
      <c r="M32" s="12"/>
      <c r="P32" s="78"/>
      <c r="Q32" s="76"/>
      <c r="R32" s="76"/>
      <c r="S32" s="370" t="s">
        <v>596</v>
      </c>
      <c r="U32" s="77"/>
      <c r="V32" s="12"/>
    </row>
    <row r="33" spans="2:23" ht="15.6">
      <c r="B33" s="149" t="s">
        <v>889</v>
      </c>
      <c r="C33" s="158"/>
      <c r="D33" s="158"/>
      <c r="E33" s="533"/>
      <c r="F33" s="159"/>
      <c r="G33" s="159"/>
      <c r="H33" s="160"/>
      <c r="I33" s="161"/>
      <c r="J33" s="312"/>
      <c r="K33" s="504"/>
      <c r="L33" s="504"/>
      <c r="M33" s="162"/>
      <c r="N33" s="162"/>
      <c r="O33" s="162"/>
      <c r="P33" s="520" t="s">
        <v>865</v>
      </c>
      <c r="Q33" s="520" t="s">
        <v>865</v>
      </c>
      <c r="R33" s="504"/>
      <c r="S33" s="157">
        <f>SUM(S34:S43)</f>
        <v>0</v>
      </c>
      <c r="T33" s="94"/>
      <c r="U33" s="77"/>
      <c r="V33" s="12"/>
    </row>
    <row r="34" spans="2:23">
      <c r="B34" s="190" t="s">
        <v>603</v>
      </c>
      <c r="C34" s="188" t="s">
        <v>650</v>
      </c>
      <c r="D34" s="183" t="s">
        <v>582</v>
      </c>
      <c r="E34" s="35"/>
      <c r="F34" s="21"/>
      <c r="G34" s="21"/>
      <c r="H34" s="21"/>
      <c r="I34" s="21"/>
      <c r="J34" s="313"/>
      <c r="K34" s="313"/>
      <c r="L34" s="247">
        <f t="shared" ref="L34:L43" si="5">IF($D34="MWh/yr (LHV)",$E34,$J34*$E34/Conversion_kWh_to_MJ)</f>
        <v>0</v>
      </c>
      <c r="M34" s="12"/>
      <c r="P34" s="307" t="str">
        <f>IF(B34="", "", IF(D34="MWh/yr (LHV)", "Use column to right", "Enter data here"))</f>
        <v>Enter data here</v>
      </c>
      <c r="Q34" s="307" t="str">
        <f>IF(B34="", "", IF(D34="MWh/yr (LHV)", "Enter data here", "Use column to left"))</f>
        <v>Use column to left</v>
      </c>
      <c r="R34" s="35" t="s">
        <v>899</v>
      </c>
      <c r="S34" s="247" t="str">
        <f t="shared" ref="S34:S43" si="6">IFERROR(IF(D34="tonnes/yr", $P34*$E34/($L$9*3.6), $Q34*$E34*3.6/($L$9*3.6)), "Unfilled fields to left")</f>
        <v>Unfilled fields to left</v>
      </c>
      <c r="U34" s="21"/>
      <c r="V34" s="12"/>
    </row>
    <row r="35" spans="2:23">
      <c r="B35" s="190" t="s">
        <v>605</v>
      </c>
      <c r="C35" s="188" t="s">
        <v>683</v>
      </c>
      <c r="D35" s="183" t="s">
        <v>582</v>
      </c>
      <c r="E35" s="35"/>
      <c r="F35" s="24"/>
      <c r="G35" s="21"/>
      <c r="H35" s="20"/>
      <c r="I35" s="36"/>
      <c r="J35" s="307"/>
      <c r="K35" s="309"/>
      <c r="L35" s="247">
        <f t="shared" si="5"/>
        <v>0</v>
      </c>
      <c r="M35" s="12"/>
      <c r="P35" s="307" t="str">
        <f t="shared" ref="P35:P43" si="7">IF(B35="", "", IF(D35="MWh/yr (LHV)", "Use column to right", "Enter data here"))</f>
        <v>Enter data here</v>
      </c>
      <c r="Q35" s="307" t="str">
        <f t="shared" ref="Q35:Q43" si="8">IF(B35="", "", IF(D35="MWh/yr (LHV)", "Enter data here", "Use column to left"))</f>
        <v>Use column to left</v>
      </c>
      <c r="R35" s="35" t="s">
        <v>899</v>
      </c>
      <c r="S35" s="247" t="str">
        <f t="shared" si="6"/>
        <v>Unfilled fields to left</v>
      </c>
      <c r="U35" s="25"/>
      <c r="V35" s="12"/>
    </row>
    <row r="36" spans="2:23">
      <c r="B36" s="190" t="s">
        <v>605</v>
      </c>
      <c r="C36" s="188" t="s">
        <v>585</v>
      </c>
      <c r="D36" s="183" t="s">
        <v>582</v>
      </c>
      <c r="E36" s="35"/>
      <c r="F36" s="24"/>
      <c r="G36" s="21"/>
      <c r="H36" s="20"/>
      <c r="I36" s="36"/>
      <c r="J36" s="307"/>
      <c r="K36" s="309"/>
      <c r="L36" s="247">
        <f t="shared" si="5"/>
        <v>0</v>
      </c>
      <c r="M36" s="12"/>
      <c r="P36" s="307" t="str">
        <f t="shared" si="7"/>
        <v>Enter data here</v>
      </c>
      <c r="Q36" s="307" t="str">
        <f t="shared" si="8"/>
        <v>Use column to left</v>
      </c>
      <c r="R36" s="35" t="s">
        <v>899</v>
      </c>
      <c r="S36" s="247" t="str">
        <f t="shared" si="6"/>
        <v>Unfilled fields to left</v>
      </c>
      <c r="U36" s="25"/>
      <c r="V36" s="12"/>
    </row>
    <row r="37" spans="2:23">
      <c r="B37" s="190" t="s">
        <v>605</v>
      </c>
      <c r="C37" s="188" t="s">
        <v>607</v>
      </c>
      <c r="D37" s="183" t="s">
        <v>582</v>
      </c>
      <c r="E37" s="35"/>
      <c r="F37" s="24"/>
      <c r="G37" s="21"/>
      <c r="H37" s="20"/>
      <c r="I37" s="36"/>
      <c r="J37" s="307"/>
      <c r="K37" s="309"/>
      <c r="L37" s="247">
        <f t="shared" si="5"/>
        <v>0</v>
      </c>
      <c r="M37" s="12"/>
      <c r="P37" s="307" t="str">
        <f t="shared" si="7"/>
        <v>Enter data here</v>
      </c>
      <c r="Q37" s="307" t="str">
        <f t="shared" si="8"/>
        <v>Use column to left</v>
      </c>
      <c r="R37" s="35" t="s">
        <v>899</v>
      </c>
      <c r="S37" s="247" t="str">
        <f t="shared" si="6"/>
        <v>Unfilled fields to left</v>
      </c>
      <c r="U37" s="25"/>
      <c r="V37" s="12"/>
    </row>
    <row r="38" spans="2:23">
      <c r="B38" s="190" t="s">
        <v>608</v>
      </c>
      <c r="C38" s="188" t="s">
        <v>609</v>
      </c>
      <c r="D38" s="183" t="s">
        <v>582</v>
      </c>
      <c r="E38" s="35"/>
      <c r="F38" s="21"/>
      <c r="G38" s="21"/>
      <c r="H38" s="20"/>
      <c r="I38" s="36"/>
      <c r="J38" s="307"/>
      <c r="K38" s="309"/>
      <c r="L38" s="247">
        <f t="shared" si="5"/>
        <v>0</v>
      </c>
      <c r="M38" s="12"/>
      <c r="P38" s="307" t="str">
        <f t="shared" si="7"/>
        <v>Enter data here</v>
      </c>
      <c r="Q38" s="307" t="str">
        <f t="shared" si="8"/>
        <v>Use column to left</v>
      </c>
      <c r="R38" s="35" t="s">
        <v>899</v>
      </c>
      <c r="S38" s="247" t="str">
        <f t="shared" si="6"/>
        <v>Unfilled fields to left</v>
      </c>
      <c r="U38" s="25"/>
      <c r="V38" s="12"/>
    </row>
    <row r="39" spans="2:23">
      <c r="B39" s="190" t="s">
        <v>608</v>
      </c>
      <c r="C39" s="188" t="s">
        <v>609</v>
      </c>
      <c r="D39" s="183" t="s">
        <v>582</v>
      </c>
      <c r="E39" s="35"/>
      <c r="F39" s="21"/>
      <c r="G39" s="21"/>
      <c r="H39" s="20"/>
      <c r="I39" s="36"/>
      <c r="J39" s="307"/>
      <c r="K39" s="309"/>
      <c r="L39" s="247">
        <f t="shared" si="5"/>
        <v>0</v>
      </c>
      <c r="M39" s="12"/>
      <c r="P39" s="307" t="str">
        <f t="shared" si="7"/>
        <v>Enter data here</v>
      </c>
      <c r="Q39" s="307" t="str">
        <f t="shared" si="8"/>
        <v>Use column to left</v>
      </c>
      <c r="R39" s="35" t="s">
        <v>899</v>
      </c>
      <c r="S39" s="247" t="str">
        <f t="shared" si="6"/>
        <v>Unfilled fields to left</v>
      </c>
      <c r="U39" s="25"/>
      <c r="V39" s="12"/>
    </row>
    <row r="40" spans="2:23">
      <c r="B40" s="16"/>
      <c r="C40" s="15"/>
      <c r="D40" s="183"/>
      <c r="E40" s="35"/>
      <c r="F40" s="57"/>
      <c r="G40" s="21"/>
      <c r="H40" s="20"/>
      <c r="I40" s="36"/>
      <c r="J40" s="307"/>
      <c r="K40" s="309"/>
      <c r="L40" s="247">
        <f t="shared" si="5"/>
        <v>0</v>
      </c>
      <c r="M40" s="12"/>
      <c r="P40" s="307" t="str">
        <f t="shared" si="7"/>
        <v/>
      </c>
      <c r="Q40" s="307" t="str">
        <f t="shared" si="8"/>
        <v/>
      </c>
      <c r="R40" s="307"/>
      <c r="S40" s="247" t="str">
        <f t="shared" si="6"/>
        <v>Unfilled fields to left</v>
      </c>
      <c r="U40" s="25"/>
      <c r="V40" s="12"/>
    </row>
    <row r="41" spans="2:23">
      <c r="B41" s="16"/>
      <c r="C41" s="15"/>
      <c r="D41" s="183"/>
      <c r="E41" s="35"/>
      <c r="F41" s="57"/>
      <c r="G41" s="21"/>
      <c r="H41" s="20"/>
      <c r="I41" s="36"/>
      <c r="J41" s="307"/>
      <c r="K41" s="309"/>
      <c r="L41" s="247">
        <f t="shared" si="5"/>
        <v>0</v>
      </c>
      <c r="M41" s="12"/>
      <c r="P41" s="307" t="str">
        <f t="shared" si="7"/>
        <v/>
      </c>
      <c r="Q41" s="307" t="str">
        <f t="shared" si="8"/>
        <v/>
      </c>
      <c r="R41" s="307"/>
      <c r="S41" s="247" t="str">
        <f t="shared" si="6"/>
        <v>Unfilled fields to left</v>
      </c>
      <c r="U41" s="25"/>
      <c r="V41" s="12"/>
    </row>
    <row r="42" spans="2:23">
      <c r="B42" s="16"/>
      <c r="C42" s="15"/>
      <c r="D42" s="183"/>
      <c r="E42" s="35"/>
      <c r="F42" s="57"/>
      <c r="G42" s="21"/>
      <c r="H42" s="20"/>
      <c r="I42" s="36"/>
      <c r="J42" s="307"/>
      <c r="K42" s="309"/>
      <c r="L42" s="247">
        <f t="shared" si="5"/>
        <v>0</v>
      </c>
      <c r="M42" s="12"/>
      <c r="P42" s="307" t="str">
        <f t="shared" si="7"/>
        <v/>
      </c>
      <c r="Q42" s="307" t="str">
        <f t="shared" si="8"/>
        <v/>
      </c>
      <c r="R42" s="307"/>
      <c r="S42" s="247" t="str">
        <f t="shared" si="6"/>
        <v>Unfilled fields to left</v>
      </c>
      <c r="U42" s="25"/>
      <c r="V42" s="12"/>
    </row>
    <row r="43" spans="2:23">
      <c r="B43" s="16"/>
      <c r="C43" s="15"/>
      <c r="D43" s="183"/>
      <c r="E43" s="35"/>
      <c r="F43" s="21"/>
      <c r="G43" s="21"/>
      <c r="H43" s="20"/>
      <c r="I43" s="36"/>
      <c r="J43" s="307"/>
      <c r="K43" s="309"/>
      <c r="L43" s="247">
        <f t="shared" si="5"/>
        <v>0</v>
      </c>
      <c r="M43" s="12"/>
      <c r="P43" s="307" t="str">
        <f t="shared" si="7"/>
        <v/>
      </c>
      <c r="Q43" s="307" t="str">
        <f t="shared" si="8"/>
        <v/>
      </c>
      <c r="R43" s="307"/>
      <c r="S43" s="247" t="str">
        <f t="shared" si="6"/>
        <v>Unfilled fields to left</v>
      </c>
      <c r="U43" s="25"/>
      <c r="V43" s="12"/>
    </row>
    <row r="44" spans="2:23">
      <c r="C44" s="86"/>
      <c r="D44" s="86"/>
      <c r="E44" s="526"/>
      <c r="F44" s="87"/>
      <c r="G44" s="88"/>
      <c r="H44" s="89"/>
      <c r="I44" s="89"/>
      <c r="J44" s="90"/>
      <c r="K44" s="90"/>
      <c r="L44" s="90"/>
      <c r="M44" s="28"/>
      <c r="N44" s="14"/>
      <c r="O44" s="14"/>
      <c r="P44" s="90"/>
      <c r="Q44" s="90"/>
      <c r="R44" s="90"/>
      <c r="S44" s="90"/>
      <c r="U44" s="27"/>
      <c r="V44" s="12"/>
    </row>
    <row r="45" spans="2:23">
      <c r="B45" s="14"/>
      <c r="C45" s="86"/>
      <c r="D45" s="86"/>
      <c r="E45" s="526"/>
      <c r="F45" s="87"/>
      <c r="G45" s="88"/>
      <c r="H45" s="89"/>
      <c r="I45" s="89"/>
      <c r="J45" s="90"/>
      <c r="K45" s="90"/>
      <c r="L45" s="90"/>
      <c r="M45" s="28"/>
      <c r="N45" s="14"/>
      <c r="O45" s="14"/>
      <c r="P45" s="90"/>
      <c r="Q45" s="90"/>
      <c r="R45" s="90"/>
      <c r="S45" s="553" t="s">
        <v>838</v>
      </c>
      <c r="U45" s="27"/>
      <c r="V45" s="12"/>
    </row>
    <row r="46" spans="2:23" s="14" customFormat="1" ht="13.5" customHeight="1">
      <c r="B46" s="149" t="s">
        <v>858</v>
      </c>
      <c r="C46" s="163"/>
      <c r="D46" s="163"/>
      <c r="E46" s="527"/>
      <c r="F46" s="164"/>
      <c r="G46" s="165"/>
      <c r="H46" s="164"/>
      <c r="I46" s="164"/>
      <c r="J46" s="314"/>
      <c r="K46" s="314"/>
      <c r="L46" s="314"/>
      <c r="M46" s="166"/>
      <c r="N46" s="167"/>
      <c r="O46" s="156"/>
      <c r="P46" s="314" t="s">
        <v>866</v>
      </c>
      <c r="Q46" s="314"/>
      <c r="R46" s="314"/>
      <c r="S46" s="157">
        <f>SUM(S47:S49)</f>
        <v>0</v>
      </c>
      <c r="T46" s="19"/>
      <c r="U46" s="73"/>
      <c r="W46" s="19"/>
    </row>
    <row r="47" spans="2:23" s="14" customFormat="1">
      <c r="B47" s="190" t="s">
        <v>611</v>
      </c>
      <c r="C47" s="188" t="s">
        <v>856</v>
      </c>
      <c r="D47" s="183" t="s">
        <v>582</v>
      </c>
      <c r="E47" s="35"/>
      <c r="F47" s="24"/>
      <c r="G47" s="21"/>
      <c r="H47" s="21"/>
      <c r="I47" s="21"/>
      <c r="J47" s="313"/>
      <c r="K47" s="313"/>
      <c r="L47" s="44">
        <f>IF($D47="MWh/yr (LHV)",$E47,$J47*$E47/Conversion_kWh_to_MJ)</f>
        <v>0</v>
      </c>
      <c r="M47" s="12"/>
      <c r="N47" s="12"/>
      <c r="O47" s="12"/>
      <c r="P47" s="307">
        <v>0</v>
      </c>
      <c r="Q47" s="505"/>
      <c r="R47" s="35" t="s">
        <v>801</v>
      </c>
      <c r="S47" s="44" t="str">
        <f>IFERROR(IF(D47="tonnes/yr", $P47*$E47/($L$9*3.6*$E$107), $Q47*$E47*3.6/($L$9*3.6*$E$107)), "Unfilled fields to left")</f>
        <v>Unfilled fields to left</v>
      </c>
      <c r="T47" s="19"/>
      <c r="U47" s="21"/>
      <c r="W47" s="19"/>
    </row>
    <row r="48" spans="2:23" s="14" customFormat="1">
      <c r="B48" s="16"/>
      <c r="C48" s="15"/>
      <c r="D48" s="183"/>
      <c r="E48" s="35"/>
      <c r="F48" s="66"/>
      <c r="G48" s="66"/>
      <c r="H48" s="66"/>
      <c r="I48" s="66"/>
      <c r="J48" s="311"/>
      <c r="K48" s="313"/>
      <c r="L48" s="44">
        <f>IF($D48="MWh/yr (LHV)",$E48,$J48*$E48/Conversion_kWh_to_MJ)</f>
        <v>0</v>
      </c>
      <c r="M48" s="12"/>
      <c r="N48" s="12"/>
      <c r="O48" s="12"/>
      <c r="P48" s="309"/>
      <c r="Q48" s="505"/>
      <c r="R48" s="309"/>
      <c r="S48" s="44" t="str">
        <f t="shared" ref="S48:S49" si="9">IFERROR(IF(D48="tonnes/yr", $P48*$E48/($L$9*3.6*$E$107), $Q48*$E48*3.6/($L$9*3.6*$E$107)), "Unfilled fields to left")</f>
        <v>Unfilled fields to left</v>
      </c>
      <c r="T48" s="19"/>
      <c r="U48" s="21"/>
      <c r="W48" s="19"/>
    </row>
    <row r="49" spans="2:23" s="14" customFormat="1">
      <c r="B49" s="67"/>
      <c r="C49" s="15"/>
      <c r="D49" s="183"/>
      <c r="E49" s="35"/>
      <c r="F49" s="21"/>
      <c r="G49" s="21"/>
      <c r="H49" s="21"/>
      <c r="I49" s="21"/>
      <c r="J49" s="21"/>
      <c r="K49" s="313"/>
      <c r="L49" s="44">
        <f>IF($D49="MWh/yr (LHV)",$E49,$J49*$E49/Conversion_kWh_to_MJ)</f>
        <v>0</v>
      </c>
      <c r="M49" s="19"/>
      <c r="N49" s="19"/>
      <c r="O49" s="19"/>
      <c r="P49" s="309"/>
      <c r="Q49" s="505"/>
      <c r="R49" s="309"/>
      <c r="S49" s="44" t="str">
        <f t="shared" si="9"/>
        <v>Unfilled fields to left</v>
      </c>
      <c r="T49" s="19"/>
      <c r="U49" s="68"/>
      <c r="W49" s="19"/>
    </row>
    <row r="50" spans="2:23" s="14" customFormat="1">
      <c r="B50" s="71"/>
      <c r="C50" s="72"/>
      <c r="D50" s="72"/>
      <c r="E50" s="532"/>
      <c r="F50" s="73"/>
      <c r="G50" s="73"/>
      <c r="H50" s="73"/>
      <c r="I50" s="73"/>
      <c r="J50" s="146"/>
      <c r="K50" s="146"/>
      <c r="L50" s="76"/>
      <c r="M50" s="19"/>
      <c r="N50" s="19"/>
      <c r="O50" s="19"/>
      <c r="P50" s="76"/>
      <c r="Q50" s="76"/>
      <c r="R50" s="76"/>
      <c r="S50" s="90"/>
      <c r="T50" s="19"/>
      <c r="U50" s="73"/>
      <c r="W50" s="19"/>
    </row>
    <row r="51" spans="2:23">
      <c r="B51" s="14"/>
      <c r="C51" s="86"/>
      <c r="D51" s="86"/>
      <c r="E51" s="526"/>
      <c r="F51" s="87"/>
      <c r="G51" s="88"/>
      <c r="H51" s="89"/>
      <c r="I51" s="89"/>
      <c r="J51" s="90"/>
      <c r="K51" s="90"/>
      <c r="L51" s="90"/>
      <c r="M51" s="28"/>
      <c r="N51" s="14"/>
      <c r="O51" s="14"/>
      <c r="P51" s="90"/>
      <c r="Q51" s="90"/>
      <c r="R51" s="90"/>
      <c r="S51" s="553" t="s">
        <v>687</v>
      </c>
      <c r="U51" s="27"/>
      <c r="V51" s="12"/>
    </row>
    <row r="52" spans="2:23" s="14" customFormat="1" ht="13.5" customHeight="1">
      <c r="B52" s="149" t="s">
        <v>859</v>
      </c>
      <c r="C52" s="163"/>
      <c r="D52" s="163"/>
      <c r="E52" s="527"/>
      <c r="F52" s="164"/>
      <c r="G52" s="165"/>
      <c r="H52" s="164"/>
      <c r="I52" s="164"/>
      <c r="J52" s="314"/>
      <c r="K52" s="314"/>
      <c r="L52" s="314"/>
      <c r="M52" s="166"/>
      <c r="N52" s="167"/>
      <c r="O52" s="156"/>
      <c r="P52" s="314" t="s">
        <v>866</v>
      </c>
      <c r="Q52" s="314"/>
      <c r="R52" s="314"/>
      <c r="S52" s="157">
        <f>SUM(S53:S55)</f>
        <v>0</v>
      </c>
      <c r="T52" s="117"/>
      <c r="U52" s="73"/>
      <c r="W52" s="19"/>
    </row>
    <row r="53" spans="2:23" s="14" customFormat="1">
      <c r="B53" s="190" t="s">
        <v>611</v>
      </c>
      <c r="C53" s="188" t="s">
        <v>857</v>
      </c>
      <c r="D53" s="183" t="s">
        <v>582</v>
      </c>
      <c r="E53" s="35"/>
      <c r="F53" s="24"/>
      <c r="G53" s="21"/>
      <c r="H53" s="21"/>
      <c r="I53" s="21"/>
      <c r="J53" s="313"/>
      <c r="K53" s="313"/>
      <c r="L53" s="44">
        <f>IF($D53="MWh/yr (LHV)",$E53,$J53*$E53/Conversion_kWh_to_MJ)</f>
        <v>0</v>
      </c>
      <c r="M53" s="12"/>
      <c r="N53" s="12"/>
      <c r="O53" s="12"/>
      <c r="P53" s="556">
        <v>1000</v>
      </c>
      <c r="Q53" s="505"/>
      <c r="R53" s="558" t="s">
        <v>814</v>
      </c>
      <c r="S53" s="44" t="str">
        <f>IFERROR(IF(D53="tonnes/yr", $P53*$E53/($L$9*3.6*$E$108), $Q53*$E53*3.6/($L$9*3.6*$E$108)), "Unfilled fields to left")</f>
        <v>Unfilled fields to left</v>
      </c>
      <c r="T53" s="19"/>
      <c r="U53" s="21"/>
      <c r="W53" s="19"/>
    </row>
    <row r="54" spans="2:23" s="14" customFormat="1">
      <c r="B54" s="16"/>
      <c r="C54" s="15"/>
      <c r="D54" s="183"/>
      <c r="E54" s="35"/>
      <c r="F54" s="66"/>
      <c r="G54" s="66"/>
      <c r="H54" s="66"/>
      <c r="I54" s="66"/>
      <c r="J54" s="311"/>
      <c r="K54" s="313"/>
      <c r="L54" s="44">
        <f>IF($D54="MWh/yr (LHV)",$E54,$J54*$E54/Conversion_kWh_to_MJ)</f>
        <v>0</v>
      </c>
      <c r="M54" s="12"/>
      <c r="N54" s="12"/>
      <c r="O54" s="12"/>
      <c r="P54" s="557"/>
      <c r="Q54" s="505"/>
      <c r="R54" s="559"/>
      <c r="S54" s="44" t="str">
        <f t="shared" ref="S54:S55" si="10">IFERROR(IF(D54="tonnes/yr", $P54*$E54/($L$9*3.6*$E$108), $Q54*$E54*3.6/($L$9*3.6*$E$108)), "Unfilled fields to left")</f>
        <v>Unfilled fields to left</v>
      </c>
      <c r="T54" s="19"/>
      <c r="U54" s="21"/>
      <c r="W54" s="19"/>
    </row>
    <row r="55" spans="2:23" s="14" customFormat="1">
      <c r="B55" s="67"/>
      <c r="C55" s="15"/>
      <c r="D55" s="183"/>
      <c r="E55" s="35"/>
      <c r="F55" s="21"/>
      <c r="G55" s="21"/>
      <c r="H55" s="21"/>
      <c r="I55" s="21"/>
      <c r="J55" s="21"/>
      <c r="K55" s="313"/>
      <c r="L55" s="44">
        <f>IF($D55="MWh/yr (LHV)",$E55,$J55*$E55/Conversion_kWh_to_MJ)</f>
        <v>0</v>
      </c>
      <c r="M55" s="19"/>
      <c r="N55" s="19"/>
      <c r="O55" s="19"/>
      <c r="P55" s="557"/>
      <c r="Q55" s="505"/>
      <c r="R55" s="559"/>
      <c r="S55" s="44" t="str">
        <f t="shared" si="10"/>
        <v>Unfilled fields to left</v>
      </c>
      <c r="T55" s="19"/>
      <c r="U55" s="68"/>
      <c r="W55" s="19"/>
    </row>
    <row r="56" spans="2:23">
      <c r="B56" s="14"/>
      <c r="C56" s="86"/>
      <c r="D56" s="86"/>
      <c r="E56" s="526"/>
      <c r="F56" s="87"/>
      <c r="G56" s="88"/>
      <c r="H56" s="89"/>
      <c r="I56" s="89"/>
      <c r="J56" s="90"/>
      <c r="K56" s="90"/>
      <c r="L56" s="90"/>
      <c r="M56" s="28"/>
      <c r="N56" s="14"/>
      <c r="O56" s="14"/>
      <c r="P56" s="90"/>
      <c r="Q56" s="90"/>
      <c r="R56" s="90"/>
      <c r="S56" s="12"/>
      <c r="U56" s="27"/>
      <c r="V56" s="12"/>
    </row>
    <row r="57" spans="2:23">
      <c r="B57" s="14"/>
      <c r="C57" s="86"/>
      <c r="D57" s="86"/>
      <c r="E57" s="526"/>
      <c r="F57" s="87"/>
      <c r="G57" s="88"/>
      <c r="H57" s="89"/>
      <c r="I57" s="89"/>
      <c r="J57" s="90"/>
      <c r="K57" s="90"/>
      <c r="L57" s="90"/>
      <c r="M57" s="28"/>
      <c r="N57" s="14"/>
      <c r="O57" s="14"/>
      <c r="P57" s="90"/>
      <c r="Q57" s="90"/>
      <c r="R57" s="90"/>
      <c r="S57" s="370" t="s">
        <v>596</v>
      </c>
      <c r="U57" s="27"/>
      <c r="V57" s="12"/>
    </row>
    <row r="58" spans="2:23" s="14" customFormat="1" ht="13.5" customHeight="1">
      <c r="B58" s="149" t="s">
        <v>860</v>
      </c>
      <c r="C58" s="163"/>
      <c r="D58" s="163"/>
      <c r="E58" s="527"/>
      <c r="F58" s="164"/>
      <c r="G58" s="165"/>
      <c r="H58" s="164"/>
      <c r="I58" s="164"/>
      <c r="J58" s="314"/>
      <c r="K58" s="314"/>
      <c r="L58" s="314"/>
      <c r="M58" s="166"/>
      <c r="N58" s="167"/>
      <c r="O58" s="156"/>
      <c r="P58" s="314" t="s">
        <v>866</v>
      </c>
      <c r="Q58" s="314"/>
      <c r="R58" s="314"/>
      <c r="S58" s="157">
        <f>SUM(S59:S61)</f>
        <v>0</v>
      </c>
      <c r="T58" s="117"/>
      <c r="U58" s="73"/>
      <c r="W58" s="19"/>
    </row>
    <row r="59" spans="2:23" s="14" customFormat="1">
      <c r="B59" s="190" t="s">
        <v>611</v>
      </c>
      <c r="C59" s="188" t="s">
        <v>861</v>
      </c>
      <c r="D59" s="183" t="s">
        <v>582</v>
      </c>
      <c r="E59" s="35"/>
      <c r="F59" s="24"/>
      <c r="G59" s="21"/>
      <c r="H59" s="21"/>
      <c r="I59" s="21"/>
      <c r="J59" s="313"/>
      <c r="K59" s="313"/>
      <c r="L59" s="44">
        <f>IF($D59="MWh/yr (LHV)",$E59,$J59*$E59/Conversion_kWh_to_MJ)</f>
        <v>0</v>
      </c>
      <c r="M59" s="12"/>
      <c r="N59" s="12"/>
      <c r="O59" s="12"/>
      <c r="P59" s="556">
        <v>0</v>
      </c>
      <c r="Q59" s="505"/>
      <c r="R59" s="558" t="s">
        <v>801</v>
      </c>
      <c r="S59" s="44" t="str">
        <f>IFERROR(IF(D59="tonnes/yr", $P59*$E59/($L$9*3.6), $Q59*$E59*3.6/($L$9*3.6)), "Unfilled fields to left")</f>
        <v>Unfilled fields to left</v>
      </c>
      <c r="T59" s="19"/>
      <c r="U59" s="21"/>
      <c r="W59" s="19"/>
    </row>
    <row r="60" spans="2:23" s="14" customFormat="1">
      <c r="B60" s="190" t="s">
        <v>611</v>
      </c>
      <c r="C60" s="188" t="s">
        <v>837</v>
      </c>
      <c r="D60" s="183" t="s">
        <v>582</v>
      </c>
      <c r="E60" s="35"/>
      <c r="F60" s="66"/>
      <c r="G60" s="66"/>
      <c r="H60" s="66"/>
      <c r="I60" s="66"/>
      <c r="J60" s="311"/>
      <c r="K60" s="313"/>
      <c r="L60" s="44">
        <f>IF($D60="MWh/yr (LHV)",$E60,$J60*$E60/Conversion_kWh_to_MJ)</f>
        <v>0</v>
      </c>
      <c r="M60" s="12"/>
      <c r="N60" s="12"/>
      <c r="O60" s="12"/>
      <c r="P60" s="556">
        <v>1000</v>
      </c>
      <c r="Q60" s="505"/>
      <c r="R60" s="558" t="s">
        <v>814</v>
      </c>
      <c r="S60" s="44" t="str">
        <f>IFERROR(IF(D60="tonnes/yr", $P60*$E60/($L$9*3.6), $Q60*$E60*3.6/($L$9*3.6)), "Unfilled fields to left")</f>
        <v>Unfilled fields to left</v>
      </c>
      <c r="T60" s="19"/>
      <c r="U60" s="21"/>
      <c r="W60" s="19"/>
    </row>
    <row r="61" spans="2:23" s="14" customFormat="1">
      <c r="B61" s="67"/>
      <c r="C61" s="15"/>
      <c r="D61" s="183"/>
      <c r="E61" s="35"/>
      <c r="F61" s="21"/>
      <c r="G61" s="21"/>
      <c r="H61" s="21"/>
      <c r="I61" s="21"/>
      <c r="J61" s="21"/>
      <c r="K61" s="313"/>
      <c r="L61" s="44">
        <f>IF($D61="MWh/yr (LHV)",$E61,$J61*$E61/Conversion_kWh_to_MJ)</f>
        <v>0</v>
      </c>
      <c r="M61" s="19"/>
      <c r="N61" s="19"/>
      <c r="O61" s="19"/>
      <c r="P61" s="557"/>
      <c r="Q61" s="505"/>
      <c r="R61" s="559"/>
      <c r="S61" s="44" t="str">
        <f>IFERROR(IF(D61="tonnes/yr", $P61*$E61/($L$9*3.6), $Q61*$E61*3.6/($L$9*3.6)), "Unfilled fields to left")</f>
        <v>Unfilled fields to left</v>
      </c>
      <c r="T61" s="19"/>
      <c r="U61" s="68"/>
      <c r="W61" s="19"/>
    </row>
    <row r="62" spans="2:23">
      <c r="B62" s="14"/>
      <c r="C62" s="86"/>
      <c r="D62" s="86"/>
      <c r="E62" s="526"/>
      <c r="F62" s="87"/>
      <c r="G62" s="88"/>
      <c r="H62" s="89"/>
      <c r="I62" s="89"/>
      <c r="J62" s="90"/>
      <c r="K62" s="90"/>
      <c r="L62" s="90"/>
      <c r="M62" s="28"/>
      <c r="N62" s="14"/>
      <c r="O62" s="14"/>
      <c r="P62" s="90"/>
      <c r="Q62" s="90"/>
      <c r="R62" s="90"/>
      <c r="S62" s="12"/>
      <c r="U62" s="27"/>
      <c r="V62" s="12"/>
    </row>
    <row r="63" spans="2:23" s="14" customFormat="1">
      <c r="B63" s="71"/>
      <c r="C63" s="72"/>
      <c r="D63" s="72"/>
      <c r="E63" s="532"/>
      <c r="F63" s="73"/>
      <c r="G63" s="73"/>
      <c r="H63" s="73"/>
      <c r="I63" s="73"/>
      <c r="J63" s="146"/>
      <c r="K63" s="146"/>
      <c r="L63" s="76"/>
      <c r="M63" s="19"/>
      <c r="N63" s="19"/>
      <c r="O63" s="19"/>
      <c r="P63" s="76"/>
      <c r="Q63" s="76"/>
      <c r="R63" s="76"/>
      <c r="S63" s="370" t="s">
        <v>596</v>
      </c>
      <c r="T63" s="19"/>
      <c r="U63" s="73"/>
      <c r="W63" s="19"/>
    </row>
    <row r="64" spans="2:23" ht="15.6">
      <c r="B64" s="149" t="s">
        <v>612</v>
      </c>
      <c r="C64" s="158"/>
      <c r="D64" s="158"/>
      <c r="E64" s="533"/>
      <c r="F64" s="159"/>
      <c r="G64" s="159"/>
      <c r="H64" s="160"/>
      <c r="I64" s="161"/>
      <c r="J64" s="312"/>
      <c r="K64" s="504"/>
      <c r="L64" s="504"/>
      <c r="M64" s="162"/>
      <c r="N64" s="162"/>
      <c r="O64" s="162"/>
      <c r="P64" s="561" t="s">
        <v>867</v>
      </c>
      <c r="Q64" s="561" t="s">
        <v>867</v>
      </c>
      <c r="R64" s="504"/>
      <c r="S64" s="157">
        <f>SUM(S65:S70)</f>
        <v>0</v>
      </c>
      <c r="T64" s="19"/>
      <c r="U64" s="77"/>
      <c r="V64" s="12"/>
      <c r="W64" s="19"/>
    </row>
    <row r="65" spans="2:22">
      <c r="B65" s="190" t="s">
        <v>592</v>
      </c>
      <c r="C65" s="188" t="s">
        <v>614</v>
      </c>
      <c r="D65" s="183" t="s">
        <v>747</v>
      </c>
      <c r="E65" s="35"/>
      <c r="F65" s="24"/>
      <c r="G65" s="21"/>
      <c r="H65" s="20"/>
      <c r="I65" s="36"/>
      <c r="J65" s="307"/>
      <c r="K65" s="309"/>
      <c r="L65" s="44">
        <f t="shared" ref="L65:L70" si="11">IF($D65="MWh/yr (LHV)",$E65,$J65*$E65/Conversion_kWh_to_MJ)</f>
        <v>0</v>
      </c>
      <c r="M65" s="12"/>
      <c r="P65" s="307" t="str">
        <f t="shared" ref="P65:P70" si="12">IF(B65="", "", IF(D65="MWh/yr (LHV)", "Use column to right", "Enter data here"))</f>
        <v>Use column to right</v>
      </c>
      <c r="Q65" s="307" t="e">
        <f>IF(B65="", "", IF(D65="MWh/yr (LHV)", Initial_questions!$E$41*1000/Conversion_kWh_to_MJ, "Use column to left"))</f>
        <v>#VALUE!</v>
      </c>
      <c r="R65" s="35" t="s">
        <v>799</v>
      </c>
      <c r="S65" s="44" t="str">
        <f t="shared" ref="S65:S70" si="13">IFERROR(IF(D65="tonnes/yr", $P65*$E65/($L$9*3.6), $Q65*$E65*3.6/($L$9*3.6)), "Unfilled fields to left")</f>
        <v>Unfilled fields to left</v>
      </c>
      <c r="U65" s="25"/>
      <c r="V65" s="12"/>
    </row>
    <row r="66" spans="2:22">
      <c r="B66" s="190" t="s">
        <v>592</v>
      </c>
      <c r="C66" s="188" t="s">
        <v>613</v>
      </c>
      <c r="D66" s="183" t="s">
        <v>747</v>
      </c>
      <c r="E66" s="35"/>
      <c r="F66" s="24"/>
      <c r="G66" s="21"/>
      <c r="H66" s="20"/>
      <c r="I66" s="36"/>
      <c r="J66" s="307"/>
      <c r="K66" s="309"/>
      <c r="L66" s="44">
        <f t="shared" si="11"/>
        <v>0</v>
      </c>
      <c r="M66" s="58"/>
      <c r="P66" s="307" t="str">
        <f t="shared" si="12"/>
        <v>Use column to right</v>
      </c>
      <c r="Q66" s="307" t="e">
        <f>INDEX(Assumptions!$F$5:$AJ$5,1,MATCH(Initial_questions!$E$24,Assumptions!$F$4:$AJ$4,0))*1000/Conversion_kWh_to_MJ</f>
        <v>#N/A</v>
      </c>
      <c r="R66" s="35" t="s">
        <v>896</v>
      </c>
      <c r="S66" s="44" t="str">
        <f t="shared" si="13"/>
        <v>Unfilled fields to left</v>
      </c>
      <c r="U66" s="25"/>
      <c r="V66" s="12"/>
    </row>
    <row r="67" spans="2:22" s="14" customFormat="1">
      <c r="B67" s="190" t="s">
        <v>592</v>
      </c>
      <c r="C67" s="188" t="s">
        <v>872</v>
      </c>
      <c r="D67" s="183" t="s">
        <v>582</v>
      </c>
      <c r="E67" s="35"/>
      <c r="F67" s="24"/>
      <c r="G67" s="21"/>
      <c r="H67" s="21"/>
      <c r="I67" s="21"/>
      <c r="J67" s="313"/>
      <c r="K67" s="313"/>
      <c r="L67" s="44">
        <f t="shared" si="11"/>
        <v>0</v>
      </c>
      <c r="M67" s="12"/>
      <c r="N67" s="12"/>
      <c r="O67" s="12"/>
      <c r="P67" s="307" t="str">
        <f t="shared" si="12"/>
        <v>Enter data here</v>
      </c>
      <c r="Q67" s="307" t="str">
        <f t="shared" ref="Q67:Q68" si="14">IF(B67="", "", IF(D67="MWh/yr (LHV)", "Enter data here", "Use column to left"))</f>
        <v>Use column to left</v>
      </c>
      <c r="R67" s="35" t="s">
        <v>871</v>
      </c>
      <c r="S67" s="44" t="str">
        <f t="shared" si="13"/>
        <v>Unfilled fields to left</v>
      </c>
      <c r="T67" s="19"/>
      <c r="U67" s="21"/>
    </row>
    <row r="68" spans="2:22" s="14" customFormat="1">
      <c r="B68" s="190" t="s">
        <v>592</v>
      </c>
      <c r="C68" s="188" t="s">
        <v>869</v>
      </c>
      <c r="D68" s="183" t="s">
        <v>582</v>
      </c>
      <c r="E68" s="35"/>
      <c r="F68" s="24"/>
      <c r="G68" s="21"/>
      <c r="H68" s="21"/>
      <c r="I68" s="21"/>
      <c r="J68" s="313"/>
      <c r="K68" s="313"/>
      <c r="L68" s="44">
        <f t="shared" si="11"/>
        <v>0</v>
      </c>
      <c r="M68" s="12"/>
      <c r="N68" s="12"/>
      <c r="O68" s="12"/>
      <c r="P68" s="307" t="str">
        <f t="shared" si="12"/>
        <v>Enter data here</v>
      </c>
      <c r="Q68" s="307" t="str">
        <f t="shared" si="14"/>
        <v>Use column to left</v>
      </c>
      <c r="R68" s="35" t="s">
        <v>871</v>
      </c>
      <c r="S68" s="44" t="str">
        <f t="shared" si="13"/>
        <v>Unfilled fields to left</v>
      </c>
      <c r="T68" s="19"/>
      <c r="U68" s="21"/>
    </row>
    <row r="69" spans="2:22" s="14" customFormat="1">
      <c r="B69" s="190" t="s">
        <v>592</v>
      </c>
      <c r="C69" s="188" t="s">
        <v>616</v>
      </c>
      <c r="D69" s="183" t="s">
        <v>747</v>
      </c>
      <c r="E69" s="35"/>
      <c r="F69" s="24"/>
      <c r="G69" s="21"/>
      <c r="H69" s="21"/>
      <c r="I69" s="21"/>
      <c r="J69" s="313"/>
      <c r="K69" s="313"/>
      <c r="L69" s="44">
        <f t="shared" si="11"/>
        <v>0</v>
      </c>
      <c r="M69" s="12"/>
      <c r="N69" s="12"/>
      <c r="O69" s="12"/>
      <c r="P69" s="307" t="str">
        <f t="shared" si="12"/>
        <v>Use column to right</v>
      </c>
      <c r="Q69" s="307" t="e">
        <f>INDEX(Assumptions!$F$5:$AJ$5,1,MATCH(Initial_questions!$E$24,Assumptions!$F$4:$AJ$4,0))*1000/Conversion_kWh_to_MJ</f>
        <v>#N/A</v>
      </c>
      <c r="R69" s="35" t="s">
        <v>896</v>
      </c>
      <c r="S69" s="44" t="str">
        <f t="shared" si="13"/>
        <v>Unfilled fields to left</v>
      </c>
      <c r="T69" s="19"/>
      <c r="U69" s="21"/>
    </row>
    <row r="70" spans="2:22" s="14" customFormat="1">
      <c r="B70" s="16"/>
      <c r="C70" s="15"/>
      <c r="D70" s="183"/>
      <c r="E70" s="35"/>
      <c r="F70" s="24"/>
      <c r="G70" s="21"/>
      <c r="H70" s="21"/>
      <c r="I70" s="21"/>
      <c r="J70" s="313"/>
      <c r="K70" s="313"/>
      <c r="L70" s="44">
        <f t="shared" si="11"/>
        <v>0</v>
      </c>
      <c r="M70" s="12"/>
      <c r="N70" s="12"/>
      <c r="O70" s="12"/>
      <c r="P70" s="307" t="str">
        <f t="shared" si="12"/>
        <v/>
      </c>
      <c r="Q70" s="307" t="str">
        <f t="shared" ref="Q70" si="15">IF(B70="", "", IF(D70="MWh/yr (LHV)", "Enter data here", "Use column to left"))</f>
        <v/>
      </c>
      <c r="R70" s="307"/>
      <c r="S70" s="44" t="str">
        <f t="shared" si="13"/>
        <v>Unfilled fields to left</v>
      </c>
      <c r="T70" s="19"/>
      <c r="U70" s="21"/>
    </row>
    <row r="71" spans="2:22" s="14" customFormat="1">
      <c r="B71" s="71"/>
      <c r="C71" s="72"/>
      <c r="D71" s="72"/>
      <c r="E71" s="146"/>
      <c r="F71" s="73"/>
      <c r="G71" s="73"/>
      <c r="H71" s="74"/>
      <c r="I71" s="74"/>
      <c r="J71" s="76"/>
      <c r="K71" s="76"/>
      <c r="L71" s="76"/>
      <c r="M71" s="12"/>
      <c r="N71" s="12"/>
      <c r="O71" s="12"/>
      <c r="P71" s="76"/>
      <c r="Q71" s="76"/>
      <c r="R71" s="76"/>
      <c r="S71" s="90"/>
      <c r="T71" s="19"/>
      <c r="U71" s="73"/>
    </row>
    <row r="72" spans="2:22" s="14" customFormat="1">
      <c r="B72" s="71"/>
      <c r="C72" s="72"/>
      <c r="D72" s="72"/>
      <c r="E72" s="532"/>
      <c r="F72" s="73"/>
      <c r="G72" s="73"/>
      <c r="H72" s="73"/>
      <c r="I72" s="73"/>
      <c r="J72" s="146"/>
      <c r="K72" s="146"/>
      <c r="L72" s="76"/>
      <c r="M72" s="19"/>
      <c r="N72" s="19"/>
      <c r="O72" s="19"/>
      <c r="P72" s="76"/>
      <c r="Q72" s="76"/>
      <c r="R72" s="76"/>
      <c r="S72" s="553" t="s">
        <v>838</v>
      </c>
      <c r="T72" s="19"/>
      <c r="U72" s="73"/>
    </row>
    <row r="73" spans="2:22" s="14" customFormat="1" ht="15.6">
      <c r="B73" s="149" t="s">
        <v>862</v>
      </c>
      <c r="C73" s="163"/>
      <c r="D73" s="163"/>
      <c r="E73" s="527"/>
      <c r="F73" s="164"/>
      <c r="G73" s="165"/>
      <c r="H73" s="164"/>
      <c r="I73" s="164"/>
      <c r="J73" s="314"/>
      <c r="K73" s="314"/>
      <c r="L73" s="314"/>
      <c r="M73" s="166"/>
      <c r="N73" s="167"/>
      <c r="O73" s="156"/>
      <c r="P73" s="314" t="s">
        <v>880</v>
      </c>
      <c r="Q73" s="314"/>
      <c r="R73" s="314"/>
      <c r="S73" s="157">
        <f>SUM(S74:S76)</f>
        <v>0</v>
      </c>
      <c r="T73" s="19"/>
      <c r="U73" s="73"/>
    </row>
    <row r="74" spans="2:22" s="14" customFormat="1">
      <c r="B74" s="190" t="s">
        <v>811</v>
      </c>
      <c r="C74" s="188" t="s">
        <v>875</v>
      </c>
      <c r="D74" s="183" t="s">
        <v>582</v>
      </c>
      <c r="E74" s="35">
        <f>E47*$E$105*(1-$E$106)</f>
        <v>0</v>
      </c>
      <c r="F74" s="66"/>
      <c r="G74" s="66"/>
      <c r="H74" s="66"/>
      <c r="I74" s="66"/>
      <c r="J74" s="311"/>
      <c r="K74" s="313"/>
      <c r="L74" s="44">
        <f>IF($D74="MWh/yr (LHV)",$E74,$J74*$E74/Conversion_kWh_to_MJ)</f>
        <v>0</v>
      </c>
      <c r="M74" s="12"/>
      <c r="N74" s="12"/>
      <c r="O74" s="12"/>
      <c r="P74" s="556">
        <v>-1000</v>
      </c>
      <c r="Q74" s="505"/>
      <c r="R74" s="558" t="s">
        <v>802</v>
      </c>
      <c r="S74" s="44" t="str">
        <f>IFERROR(IF(D74="tonnes/yr", $P74*$E74/($L$9*3.6*$E$107), $Q74*$E74*3.6/($L$9*3.6*$E$107)), "Unfilled fields to left")</f>
        <v>Unfilled fields to left</v>
      </c>
      <c r="T74" s="19"/>
      <c r="U74" s="21"/>
    </row>
    <row r="75" spans="2:22" s="14" customFormat="1">
      <c r="B75" s="67"/>
      <c r="C75" s="15"/>
      <c r="D75" s="183"/>
      <c r="E75" s="35"/>
      <c r="F75" s="21"/>
      <c r="G75" s="21"/>
      <c r="H75" s="66"/>
      <c r="I75" s="66"/>
      <c r="J75" s="311"/>
      <c r="K75" s="313"/>
      <c r="L75" s="44">
        <f>IF($D75="MWh/yr (LHV)",$E75,$J75*$E75/Conversion_kWh_to_MJ)</f>
        <v>0</v>
      </c>
      <c r="M75" s="19"/>
      <c r="N75" s="19"/>
      <c r="O75" s="19"/>
      <c r="P75" s="557"/>
      <c r="Q75" s="505"/>
      <c r="R75" s="559"/>
      <c r="S75" s="44" t="str">
        <f t="shared" ref="S75:S76" si="16">IFERROR(IF(D75="tonnes/yr", $P75*$E75/($L$9*3.6*$E$107), $Q75*$E75*3.6/($L$9*3.6*$E$107)), "Unfilled fields to left")</f>
        <v>Unfilled fields to left</v>
      </c>
      <c r="U75" s="68"/>
    </row>
    <row r="76" spans="2:22" s="14" customFormat="1">
      <c r="B76" s="67"/>
      <c r="C76" s="15"/>
      <c r="D76" s="183"/>
      <c r="E76" s="35"/>
      <c r="F76" s="21"/>
      <c r="G76" s="21"/>
      <c r="H76" s="21"/>
      <c r="I76" s="21"/>
      <c r="J76" s="21"/>
      <c r="K76" s="313"/>
      <c r="L76" s="44">
        <f>IF($D76="MWh/yr (LHV)",$E76,$J76*$E76/Conversion_kWh_to_MJ)</f>
        <v>0</v>
      </c>
      <c r="M76" s="19"/>
      <c r="N76" s="19"/>
      <c r="O76" s="19"/>
      <c r="P76" s="557"/>
      <c r="Q76" s="505"/>
      <c r="R76" s="559"/>
      <c r="S76" s="44" t="str">
        <f t="shared" si="16"/>
        <v>Unfilled fields to left</v>
      </c>
      <c r="U76" s="68"/>
    </row>
    <row r="77" spans="2:22" s="14" customFormat="1">
      <c r="B77" s="71"/>
      <c r="C77" s="72"/>
      <c r="D77" s="72"/>
      <c r="E77" s="146"/>
      <c r="F77" s="73"/>
      <c r="G77" s="73"/>
      <c r="H77" s="74"/>
      <c r="I77" s="74"/>
      <c r="J77" s="76"/>
      <c r="K77" s="76"/>
      <c r="L77" s="76"/>
      <c r="M77" s="12"/>
      <c r="N77" s="12"/>
      <c r="O77" s="12"/>
      <c r="P77" s="76"/>
      <c r="Q77" s="90"/>
      <c r="R77" s="76"/>
      <c r="U77" s="73"/>
    </row>
    <row r="78" spans="2:22" s="14" customFormat="1">
      <c r="B78" s="71"/>
      <c r="C78" s="72"/>
      <c r="D78" s="72"/>
      <c r="E78" s="146"/>
      <c r="F78" s="73"/>
      <c r="G78" s="73"/>
      <c r="H78" s="74"/>
      <c r="I78" s="74"/>
      <c r="J78" s="76"/>
      <c r="K78" s="76"/>
      <c r="L78" s="76"/>
      <c r="M78" s="12"/>
      <c r="N78" s="12"/>
      <c r="O78" s="12"/>
      <c r="P78" s="76"/>
      <c r="Q78" s="76"/>
      <c r="R78" s="76"/>
      <c r="S78" s="370" t="s">
        <v>687</v>
      </c>
      <c r="T78" s="19"/>
      <c r="U78" s="73"/>
    </row>
    <row r="79" spans="2:22" s="14" customFormat="1" ht="13.5" customHeight="1">
      <c r="B79" s="149" t="s">
        <v>863</v>
      </c>
      <c r="C79" s="163"/>
      <c r="D79" s="163"/>
      <c r="E79" s="527"/>
      <c r="F79" s="164"/>
      <c r="G79" s="165"/>
      <c r="H79" s="164"/>
      <c r="I79" s="164"/>
      <c r="J79" s="314"/>
      <c r="K79" s="314"/>
      <c r="L79" s="314"/>
      <c r="M79" s="166"/>
      <c r="N79" s="167"/>
      <c r="O79" s="156"/>
      <c r="P79" s="314" t="s">
        <v>880</v>
      </c>
      <c r="Q79" s="314"/>
      <c r="R79" s="314"/>
      <c r="S79" s="157">
        <f>SUM(S80:S82)</f>
        <v>0</v>
      </c>
      <c r="T79" s="19"/>
      <c r="U79" s="73"/>
    </row>
    <row r="80" spans="2:22" s="14" customFormat="1">
      <c r="B80" s="190" t="s">
        <v>811</v>
      </c>
      <c r="C80" s="188" t="s">
        <v>876</v>
      </c>
      <c r="D80" s="183" t="s">
        <v>582</v>
      </c>
      <c r="E80" s="35">
        <f>E53*$E$105*(1-$E$106)</f>
        <v>0</v>
      </c>
      <c r="F80" s="66"/>
      <c r="G80" s="66"/>
      <c r="H80" s="66"/>
      <c r="I80" s="66"/>
      <c r="J80" s="311"/>
      <c r="K80" s="313"/>
      <c r="L80" s="44">
        <f>IF($D80="MWh/yr (LHV)",$E80,$J80*$E80/Conversion_kWh_to_MJ)</f>
        <v>0</v>
      </c>
      <c r="M80" s="12"/>
      <c r="N80" s="12"/>
      <c r="O80" s="12"/>
      <c r="P80" s="307">
        <v>-1000</v>
      </c>
      <c r="Q80" s="505"/>
      <c r="R80" s="35" t="s">
        <v>828</v>
      </c>
      <c r="S80" s="44" t="str">
        <f>IFERROR(IF(D80="tonnes/yr", $P80*$E80/($L$9*3.6*$E$108), $Q80*$E80*3.6/($L$9*3.6*$E$108)), "Unfilled fields to left")</f>
        <v>Unfilled fields to left</v>
      </c>
      <c r="T80" s="19"/>
      <c r="U80" s="21"/>
    </row>
    <row r="81" spans="2:21" s="14" customFormat="1">
      <c r="B81" s="67"/>
      <c r="C81" s="15"/>
      <c r="D81" s="183"/>
      <c r="E81" s="35"/>
      <c r="F81" s="21"/>
      <c r="G81" s="21"/>
      <c r="H81" s="66"/>
      <c r="I81" s="66"/>
      <c r="J81" s="311"/>
      <c r="K81" s="313"/>
      <c r="L81" s="44">
        <f>IF($D81="MWh/yr (LHV)",$E81,$J81*$E81/Conversion_kWh_to_MJ)</f>
        <v>0</v>
      </c>
      <c r="M81" s="19"/>
      <c r="N81" s="19"/>
      <c r="O81" s="19"/>
      <c r="P81" s="309"/>
      <c r="Q81" s="505"/>
      <c r="R81" s="309"/>
      <c r="S81" s="44" t="str">
        <f t="shared" ref="S81:S82" si="17">IFERROR(IF(D81="tonnes/yr", $P81*$E81/($L$9*3.6*$E$108), $Q81*$E81*3.6/($L$9*3.6*$E$108)), "Unfilled fields to left")</f>
        <v>Unfilled fields to left</v>
      </c>
      <c r="T81" s="19"/>
      <c r="U81" s="68"/>
    </row>
    <row r="82" spans="2:21" s="14" customFormat="1">
      <c r="B82" s="67"/>
      <c r="C82" s="15"/>
      <c r="D82" s="183"/>
      <c r="E82" s="35"/>
      <c r="F82" s="21"/>
      <c r="G82" s="21"/>
      <c r="H82" s="21"/>
      <c r="I82" s="21"/>
      <c r="J82" s="313"/>
      <c r="K82" s="313"/>
      <c r="L82" s="44">
        <f>IF($D82="MWh/yr (LHV)",$E82,$J82*$E82/Conversion_kWh_to_MJ)</f>
        <v>0</v>
      </c>
      <c r="M82" s="19"/>
      <c r="N82" s="19"/>
      <c r="O82" s="19"/>
      <c r="P82" s="315"/>
      <c r="Q82" s="505"/>
      <c r="R82" s="309"/>
      <c r="S82" s="44" t="str">
        <f t="shared" si="17"/>
        <v>Unfilled fields to left</v>
      </c>
      <c r="T82" s="19"/>
      <c r="U82" s="68"/>
    </row>
    <row r="83" spans="2:21" s="14" customFormat="1">
      <c r="B83" s="71"/>
      <c r="C83" s="72"/>
      <c r="D83" s="72"/>
      <c r="E83" s="532"/>
      <c r="F83" s="73"/>
      <c r="G83" s="73"/>
      <c r="H83" s="73"/>
      <c r="I83" s="73"/>
      <c r="J83" s="146"/>
      <c r="K83" s="146"/>
      <c r="L83" s="76"/>
      <c r="M83" s="19"/>
      <c r="N83" s="19"/>
      <c r="O83" s="19"/>
      <c r="P83" s="76"/>
      <c r="Q83" s="76"/>
      <c r="R83" s="76"/>
      <c r="S83" s="90"/>
      <c r="T83" s="19"/>
      <c r="U83" s="73"/>
    </row>
    <row r="84" spans="2:21" s="14" customFormat="1">
      <c r="B84" s="71"/>
      <c r="C84" s="72"/>
      <c r="D84" s="72"/>
      <c r="E84" s="146"/>
      <c r="F84" s="73"/>
      <c r="G84" s="73"/>
      <c r="H84" s="74"/>
      <c r="I84" s="74"/>
      <c r="J84" s="76"/>
      <c r="K84" s="76"/>
      <c r="L84" s="76"/>
      <c r="M84" s="12"/>
      <c r="N84" s="12"/>
      <c r="O84" s="12"/>
      <c r="P84" s="76"/>
      <c r="Q84" s="76"/>
      <c r="R84" s="76"/>
      <c r="S84" s="370" t="s">
        <v>596</v>
      </c>
      <c r="T84" s="19"/>
      <c r="U84" s="73"/>
    </row>
    <row r="85" spans="2:21" s="14" customFormat="1" ht="13.5" customHeight="1">
      <c r="B85" s="149" t="s">
        <v>864</v>
      </c>
      <c r="C85" s="163"/>
      <c r="D85" s="163"/>
      <c r="E85" s="527"/>
      <c r="F85" s="164"/>
      <c r="G85" s="165"/>
      <c r="H85" s="164"/>
      <c r="I85" s="164"/>
      <c r="J85" s="314"/>
      <c r="K85" s="314"/>
      <c r="L85" s="314"/>
      <c r="M85" s="166"/>
      <c r="N85" s="167"/>
      <c r="O85" s="156"/>
      <c r="P85" s="314" t="s">
        <v>880</v>
      </c>
      <c r="Q85" s="314"/>
      <c r="R85" s="314"/>
      <c r="S85" s="157">
        <f>SUM(S86:S88)</f>
        <v>0</v>
      </c>
      <c r="T85" s="19"/>
      <c r="U85" s="73"/>
    </row>
    <row r="86" spans="2:21" s="14" customFormat="1">
      <c r="B86" s="190" t="s">
        <v>811</v>
      </c>
      <c r="C86" s="188" t="s">
        <v>878</v>
      </c>
      <c r="D86" s="183" t="s">
        <v>582</v>
      </c>
      <c r="E86" s="35">
        <f>E59*$E$105*(1-$E$106)</f>
        <v>0</v>
      </c>
      <c r="F86" s="66"/>
      <c r="G86" s="66"/>
      <c r="H86" s="66"/>
      <c r="I86" s="66"/>
      <c r="J86" s="311"/>
      <c r="K86" s="313"/>
      <c r="L86" s="44">
        <f>IF($D86="MWh/yr (LHV)",$E86,$J86*$E86/Conversion_kWh_to_MJ)</f>
        <v>0</v>
      </c>
      <c r="M86" s="12"/>
      <c r="N86" s="12"/>
      <c r="O86" s="12"/>
      <c r="P86" s="307">
        <v>-1000</v>
      </c>
      <c r="Q86" s="505"/>
      <c r="R86" s="35" t="s">
        <v>802</v>
      </c>
      <c r="S86" s="44" t="str">
        <f>IFERROR(IF(D86="tonnes/yr", $P86*$E86/($L$9*3.6), $Q86*$E86*3.6/($L$9*3.6)), "Unfilled fields to left")</f>
        <v>Unfilled fields to left</v>
      </c>
      <c r="T86" s="19"/>
      <c r="U86" s="21"/>
    </row>
    <row r="87" spans="2:21" s="14" customFormat="1">
      <c r="B87" s="190" t="s">
        <v>811</v>
      </c>
      <c r="C87" s="188" t="s">
        <v>877</v>
      </c>
      <c r="D87" s="183" t="s">
        <v>582</v>
      </c>
      <c r="E87" s="35">
        <f>E60*$E$105*(1-$E$106)</f>
        <v>0</v>
      </c>
      <c r="F87" s="21"/>
      <c r="G87" s="21"/>
      <c r="H87" s="66"/>
      <c r="I87" s="66"/>
      <c r="J87" s="311"/>
      <c r="K87" s="313"/>
      <c r="L87" s="44">
        <f>IF($D87="MWh/yr (LHV)",$E87,$J87*$E87/Conversion_kWh_to_MJ)</f>
        <v>0</v>
      </c>
      <c r="M87" s="19"/>
      <c r="N87" s="19"/>
      <c r="O87" s="19"/>
      <c r="P87" s="307">
        <v>-1000</v>
      </c>
      <c r="Q87" s="505"/>
      <c r="R87" s="35" t="s">
        <v>828</v>
      </c>
      <c r="S87" s="44" t="str">
        <f>IFERROR(IF(D87="tonnes/yr", $P87*$E87/($L$9*3.6), $Q87*$E87*3.6/($L$9*3.6)), "Unfilled fields to left")</f>
        <v>Unfilled fields to left</v>
      </c>
      <c r="T87" s="19"/>
      <c r="U87" s="68"/>
    </row>
    <row r="88" spans="2:21" s="14" customFormat="1">
      <c r="B88" s="67"/>
      <c r="C88" s="15"/>
      <c r="D88" s="183"/>
      <c r="E88" s="35"/>
      <c r="F88" s="21"/>
      <c r="G88" s="21"/>
      <c r="H88" s="21"/>
      <c r="I88" s="21"/>
      <c r="J88" s="313"/>
      <c r="K88" s="313"/>
      <c r="L88" s="44">
        <f>IF($D88="MWh/yr (LHV)",$E88,$J88*$E88/Conversion_kWh_to_MJ)</f>
        <v>0</v>
      </c>
      <c r="M88" s="19"/>
      <c r="N88" s="19"/>
      <c r="O88" s="19"/>
      <c r="P88" s="315"/>
      <c r="Q88" s="505"/>
      <c r="R88" s="309"/>
      <c r="S88" s="44" t="str">
        <f>IFERROR(IF(D88="tonnes/yr", $P88*$E88/($L$9*3.6), $Q88*$E88*3.6/($L$9*3.6)), "Unfilled fields to left")</f>
        <v>Unfilled fields to left</v>
      </c>
      <c r="T88" s="19"/>
      <c r="U88" s="68"/>
    </row>
    <row r="89" spans="2:21" s="14" customFormat="1">
      <c r="B89" s="71"/>
      <c r="C89" s="72"/>
      <c r="D89" s="72"/>
      <c r="E89" s="146"/>
      <c r="F89" s="73"/>
      <c r="G89" s="73"/>
      <c r="H89" s="74"/>
      <c r="I89" s="74"/>
      <c r="J89" s="76"/>
      <c r="K89" s="76"/>
      <c r="L89" s="76"/>
      <c r="M89" s="12"/>
      <c r="N89" s="12"/>
      <c r="O89" s="12"/>
      <c r="P89" s="76"/>
      <c r="Q89" s="76"/>
      <c r="R89" s="76"/>
      <c r="S89" s="370"/>
      <c r="U89" s="73"/>
    </row>
    <row r="90" spans="2:21" s="14" customFormat="1">
      <c r="B90" s="71"/>
      <c r="C90" s="72"/>
      <c r="D90" s="72"/>
      <c r="E90" s="146"/>
      <c r="F90" s="73"/>
      <c r="G90" s="73"/>
      <c r="H90" s="74"/>
      <c r="I90" s="74"/>
      <c r="J90" s="76"/>
      <c r="K90" s="76"/>
      <c r="L90" s="76"/>
      <c r="M90" s="12"/>
      <c r="N90" s="12"/>
      <c r="O90" s="12"/>
      <c r="P90" s="76"/>
      <c r="Q90" s="76"/>
      <c r="R90" s="76"/>
      <c r="S90" s="370" t="s">
        <v>596</v>
      </c>
      <c r="U90" s="73"/>
    </row>
    <row r="91" spans="2:21" s="14" customFormat="1" ht="15.6">
      <c r="B91" s="149" t="s">
        <v>93</v>
      </c>
      <c r="C91" s="163"/>
      <c r="D91" s="163"/>
      <c r="E91" s="527"/>
      <c r="F91" s="164"/>
      <c r="G91" s="165"/>
      <c r="H91" s="164"/>
      <c r="I91" s="164"/>
      <c r="J91" s="314"/>
      <c r="K91" s="314"/>
      <c r="L91" s="314"/>
      <c r="M91" s="166"/>
      <c r="N91" s="167"/>
      <c r="O91" s="156"/>
      <c r="P91" s="314" t="s">
        <v>868</v>
      </c>
      <c r="Q91" s="314"/>
      <c r="R91" s="314"/>
      <c r="S91" s="157">
        <f>SUM(S92:S99)</f>
        <v>0</v>
      </c>
      <c r="U91" s="73"/>
    </row>
    <row r="92" spans="2:21" s="14" customFormat="1">
      <c r="B92" s="190" t="s">
        <v>618</v>
      </c>
      <c r="C92" s="188" t="s">
        <v>823</v>
      </c>
      <c r="D92" s="183" t="s">
        <v>582</v>
      </c>
      <c r="E92" s="35"/>
      <c r="F92" s="21"/>
      <c r="G92" s="21"/>
      <c r="H92" s="21"/>
      <c r="I92" s="21"/>
      <c r="J92" s="313"/>
      <c r="K92" s="313"/>
      <c r="L92" s="44">
        <f t="shared" ref="L92:L99" si="18">IF($D92="MWh/yr (LHV)",$E92,$J92*$E92/Conversion_kWh_to_MJ)</f>
        <v>0</v>
      </c>
      <c r="M92" s="12"/>
      <c r="N92" s="12"/>
      <c r="O92" s="12"/>
      <c r="P92" s="35">
        <v>28000</v>
      </c>
      <c r="Q92" s="546"/>
      <c r="R92" s="35" t="s">
        <v>651</v>
      </c>
      <c r="S92" s="44" t="str">
        <f t="shared" ref="S92:S99" si="19">IFERROR(IF(D92="tonnes/yr", $P92*$E92/($L$9*3.6), $Q92*$E92*3.6/($L$9*3.6)), "Unfilled fields to left")</f>
        <v>Unfilled fields to left</v>
      </c>
      <c r="U92" s="21"/>
    </row>
    <row r="93" spans="2:21" s="14" customFormat="1">
      <c r="B93" s="191" t="s">
        <v>619</v>
      </c>
      <c r="C93" s="188" t="s">
        <v>824</v>
      </c>
      <c r="D93" s="183" t="s">
        <v>582</v>
      </c>
      <c r="E93" s="35"/>
      <c r="F93" s="68"/>
      <c r="G93" s="68"/>
      <c r="H93" s="69"/>
      <c r="I93" s="69"/>
      <c r="J93" s="315"/>
      <c r="K93" s="315"/>
      <c r="L93" s="44">
        <f t="shared" si="18"/>
        <v>0</v>
      </c>
      <c r="M93" s="19"/>
      <c r="N93" s="19"/>
      <c r="O93" s="19"/>
      <c r="P93" s="35">
        <v>265000</v>
      </c>
      <c r="Q93" s="546"/>
      <c r="R93" s="511" t="s">
        <v>651</v>
      </c>
      <c r="S93" s="44" t="str">
        <f t="shared" si="19"/>
        <v>Unfilled fields to left</v>
      </c>
      <c r="U93" s="68"/>
    </row>
    <row r="94" spans="2:21" s="14" customFormat="1">
      <c r="B94" s="191" t="s">
        <v>620</v>
      </c>
      <c r="C94" s="188" t="s">
        <v>825</v>
      </c>
      <c r="D94" s="183" t="s">
        <v>582</v>
      </c>
      <c r="E94" s="35"/>
      <c r="F94" s="68"/>
      <c r="G94" s="68"/>
      <c r="H94" s="69"/>
      <c r="I94" s="69"/>
      <c r="J94" s="315"/>
      <c r="K94" s="315"/>
      <c r="L94" s="44">
        <f t="shared" si="18"/>
        <v>0</v>
      </c>
      <c r="M94" s="19"/>
      <c r="N94" s="19"/>
      <c r="O94" s="19"/>
      <c r="P94" s="35">
        <v>23500000</v>
      </c>
      <c r="Q94" s="546"/>
      <c r="R94" s="511" t="s">
        <v>651</v>
      </c>
      <c r="S94" s="44" t="str">
        <f t="shared" si="19"/>
        <v>Unfilled fields to left</v>
      </c>
      <c r="U94" s="68"/>
    </row>
    <row r="95" spans="2:21" s="14" customFormat="1">
      <c r="B95" s="191" t="s">
        <v>621</v>
      </c>
      <c r="C95" s="188" t="s">
        <v>826</v>
      </c>
      <c r="D95" s="183" t="s">
        <v>582</v>
      </c>
      <c r="E95" s="35"/>
      <c r="F95" s="68"/>
      <c r="G95" s="68"/>
      <c r="H95" s="69"/>
      <c r="I95" s="69"/>
      <c r="J95" s="315"/>
      <c r="K95" s="315"/>
      <c r="L95" s="44">
        <f t="shared" si="18"/>
        <v>0</v>
      </c>
      <c r="M95" s="19"/>
      <c r="N95" s="19"/>
      <c r="O95" s="19"/>
      <c r="P95" s="547" t="s">
        <v>622</v>
      </c>
      <c r="Q95" s="546"/>
      <c r="R95" s="511"/>
      <c r="S95" s="44" t="str">
        <f t="shared" si="19"/>
        <v>Unfilled fields to left</v>
      </c>
      <c r="U95" s="68"/>
    </row>
    <row r="96" spans="2:21" s="14" customFormat="1">
      <c r="B96" s="191" t="s">
        <v>621</v>
      </c>
      <c r="C96" s="188" t="s">
        <v>826</v>
      </c>
      <c r="D96" s="183" t="s">
        <v>582</v>
      </c>
      <c r="E96" s="35"/>
      <c r="F96" s="68"/>
      <c r="G96" s="68"/>
      <c r="H96" s="69"/>
      <c r="I96" s="69"/>
      <c r="J96" s="315"/>
      <c r="K96" s="315"/>
      <c r="L96" s="44">
        <f t="shared" si="18"/>
        <v>0</v>
      </c>
      <c r="M96" s="19"/>
      <c r="N96" s="19"/>
      <c r="O96" s="19"/>
      <c r="P96" s="547" t="s">
        <v>622</v>
      </c>
      <c r="Q96" s="546"/>
      <c r="R96" s="511"/>
      <c r="S96" s="44" t="str">
        <f t="shared" si="19"/>
        <v>Unfilled fields to left</v>
      </c>
      <c r="U96" s="68"/>
    </row>
    <row r="97" spans="2:22" s="14" customFormat="1">
      <c r="B97" s="191" t="s">
        <v>621</v>
      </c>
      <c r="C97" s="188" t="s">
        <v>826</v>
      </c>
      <c r="D97" s="183" t="s">
        <v>582</v>
      </c>
      <c r="E97" s="35"/>
      <c r="F97" s="68"/>
      <c r="G97" s="68"/>
      <c r="H97" s="69"/>
      <c r="I97" s="69"/>
      <c r="J97" s="315"/>
      <c r="K97" s="315"/>
      <c r="L97" s="44">
        <f t="shared" si="18"/>
        <v>0</v>
      </c>
      <c r="M97" s="19"/>
      <c r="N97" s="19"/>
      <c r="O97" s="19"/>
      <c r="P97" s="547" t="s">
        <v>622</v>
      </c>
      <c r="Q97" s="546"/>
      <c r="R97" s="511"/>
      <c r="S97" s="44" t="str">
        <f t="shared" si="19"/>
        <v>Unfilled fields to left</v>
      </c>
      <c r="U97" s="68"/>
    </row>
    <row r="98" spans="2:22" s="14" customFormat="1">
      <c r="B98" s="67"/>
      <c r="C98" s="15"/>
      <c r="D98" s="184"/>
      <c r="E98" s="528"/>
      <c r="F98" s="68"/>
      <c r="G98" s="68"/>
      <c r="H98" s="69"/>
      <c r="I98" s="69"/>
      <c r="J98" s="315"/>
      <c r="K98" s="315"/>
      <c r="L98" s="44">
        <f t="shared" si="18"/>
        <v>0</v>
      </c>
      <c r="M98" s="19"/>
      <c r="N98" s="19"/>
      <c r="O98" s="19"/>
      <c r="P98" s="309"/>
      <c r="Q98" s="505"/>
      <c r="R98" s="315"/>
      <c r="S98" s="44" t="str">
        <f t="shared" si="19"/>
        <v>Unfilled fields to left</v>
      </c>
      <c r="U98" s="68"/>
    </row>
    <row r="99" spans="2:22" s="14" customFormat="1">
      <c r="B99" s="67"/>
      <c r="C99" s="15"/>
      <c r="D99" s="184"/>
      <c r="E99" s="528"/>
      <c r="F99" s="68"/>
      <c r="G99" s="68"/>
      <c r="H99" s="69"/>
      <c r="I99" s="69"/>
      <c r="J99" s="315"/>
      <c r="K99" s="315"/>
      <c r="L99" s="44">
        <f t="shared" si="18"/>
        <v>0</v>
      </c>
      <c r="M99" s="19"/>
      <c r="N99" s="19"/>
      <c r="O99" s="19"/>
      <c r="P99" s="309"/>
      <c r="Q99" s="505"/>
      <c r="R99" s="315"/>
      <c r="S99" s="44" t="str">
        <f t="shared" si="19"/>
        <v>Unfilled fields to left</v>
      </c>
      <c r="U99" s="68"/>
    </row>
    <row r="100" spans="2:22">
      <c r="C100" s="17"/>
      <c r="D100" s="17"/>
      <c r="E100" s="144"/>
      <c r="F100" s="17"/>
      <c r="H100" s="18"/>
      <c r="I100" s="18"/>
      <c r="J100" s="40"/>
      <c r="K100" s="40"/>
      <c r="L100" s="40"/>
      <c r="M100" s="12"/>
      <c r="P100" s="40"/>
      <c r="Q100" s="40"/>
      <c r="R100" s="40"/>
      <c r="S100" s="40"/>
      <c r="V100" s="12"/>
    </row>
    <row r="101" spans="2:22">
      <c r="E101" s="110"/>
      <c r="I101" s="12"/>
      <c r="J101" s="110"/>
      <c r="K101" s="110"/>
      <c r="L101" s="110"/>
      <c r="M101" s="12"/>
      <c r="P101" s="39"/>
      <c r="Q101" s="39"/>
      <c r="R101" s="38" t="s">
        <v>688</v>
      </c>
      <c r="S101" s="157">
        <f>IF(OR(COUNTIF(Initial_questions!$E$95,"Default"), COUNTIF(Initial_questions!$E$97:$E$98,"Default")),"Default data selected",SUM(S20,S33,S46,S58,S64,S73,S85,S91))</f>
        <v>0</v>
      </c>
      <c r="T101" s="95"/>
      <c r="V101" s="12"/>
    </row>
    <row r="102" spans="2:22">
      <c r="E102" s="110"/>
      <c r="I102" s="12"/>
      <c r="J102" s="110"/>
      <c r="K102" s="110"/>
      <c r="L102" s="110"/>
      <c r="M102" s="12"/>
      <c r="P102" s="39"/>
      <c r="Q102" s="39"/>
      <c r="R102" s="38" t="s">
        <v>689</v>
      </c>
      <c r="S102" s="176">
        <f>IF(OR(COUNTIF(Initial_questions!$E$95,"Default"), COUNTIF(Initial_questions!$E$97:$E$98,"Default")),"Default data selected",SUM(S20,S33,S52,S57,S64,S79,S85,S91))</f>
        <v>0</v>
      </c>
      <c r="T102" s="95"/>
      <c r="V102" s="12"/>
    </row>
    <row r="103" spans="2:22">
      <c r="B103" s="149" t="s">
        <v>94</v>
      </c>
      <c r="C103" s="163"/>
      <c r="D103" s="163"/>
      <c r="E103" s="527"/>
      <c r="I103" s="12"/>
      <c r="J103" s="110"/>
      <c r="K103" s="110"/>
      <c r="L103" s="110"/>
      <c r="M103" s="12"/>
      <c r="P103" s="110"/>
      <c r="Q103" s="110"/>
      <c r="R103" s="110"/>
      <c r="S103" s="12"/>
      <c r="V103" s="12"/>
    </row>
    <row r="104" spans="2:22">
      <c r="B104" s="16" t="s">
        <v>626</v>
      </c>
      <c r="C104" s="15" t="s">
        <v>627</v>
      </c>
      <c r="D104" s="15" t="s">
        <v>628</v>
      </c>
      <c r="E104" s="529"/>
      <c r="G104" s="19"/>
      <c r="H104" s="12"/>
      <c r="I104" s="12"/>
      <c r="J104" s="110"/>
      <c r="K104" s="110"/>
      <c r="L104" s="110"/>
      <c r="M104" s="12"/>
      <c r="P104" s="110"/>
      <c r="Q104" s="110"/>
      <c r="R104" s="110"/>
      <c r="S104" s="12"/>
      <c r="U104" s="25"/>
      <c r="V104" s="12"/>
    </row>
    <row r="105" spans="2:22">
      <c r="B105" s="16" t="s">
        <v>642</v>
      </c>
      <c r="C105" s="15" t="s">
        <v>652</v>
      </c>
      <c r="D105" s="15" t="s">
        <v>497</v>
      </c>
      <c r="E105" s="539">
        <f>Initial_questions!$E$85</f>
        <v>0</v>
      </c>
      <c r="I105" s="12"/>
      <c r="J105" s="110"/>
      <c r="K105" s="110"/>
      <c r="L105" s="110"/>
      <c r="M105" s="12"/>
      <c r="P105" s="110"/>
      <c r="Q105" s="110"/>
      <c r="R105" s="110"/>
      <c r="S105" s="12"/>
      <c r="U105" s="25"/>
      <c r="V105" s="12"/>
    </row>
    <row r="106" spans="2:22">
      <c r="B106" s="16" t="s">
        <v>654</v>
      </c>
      <c r="C106" s="15" t="s">
        <v>655</v>
      </c>
      <c r="D106" s="15" t="s">
        <v>497</v>
      </c>
      <c r="E106" s="539"/>
      <c r="I106" s="12"/>
      <c r="J106" s="110"/>
      <c r="K106" s="110"/>
      <c r="L106" s="110"/>
      <c r="M106" s="12"/>
      <c r="P106" s="110"/>
      <c r="Q106" s="110"/>
      <c r="R106" s="110"/>
      <c r="S106" s="12"/>
      <c r="U106" s="25"/>
      <c r="V106" s="12"/>
    </row>
    <row r="107" spans="2:22">
      <c r="B107" s="16" t="s">
        <v>690</v>
      </c>
      <c r="C107" s="15" t="s">
        <v>762</v>
      </c>
      <c r="D107" s="15" t="s">
        <v>497</v>
      </c>
      <c r="E107" s="539"/>
      <c r="I107" s="12"/>
      <c r="J107" s="110"/>
      <c r="K107" s="110"/>
      <c r="L107" s="110"/>
      <c r="M107" s="12"/>
      <c r="P107" s="110"/>
      <c r="Q107" s="110"/>
      <c r="R107" s="110"/>
      <c r="S107" s="12"/>
      <c r="U107" s="25"/>
      <c r="V107" s="12"/>
    </row>
    <row r="108" spans="2:22">
      <c r="B108" s="16" t="s">
        <v>690</v>
      </c>
      <c r="C108" s="15" t="s">
        <v>761</v>
      </c>
      <c r="D108" s="15" t="s">
        <v>497</v>
      </c>
      <c r="E108" s="539">
        <f>1-E107</f>
        <v>1</v>
      </c>
      <c r="I108" s="12"/>
      <c r="J108" s="110"/>
      <c r="K108" s="110"/>
      <c r="L108" s="110"/>
      <c r="M108" s="12"/>
      <c r="P108" s="110"/>
      <c r="Q108" s="110"/>
      <c r="R108" s="110"/>
      <c r="S108" s="12"/>
      <c r="U108" s="25"/>
      <c r="V108" s="12"/>
    </row>
    <row r="109" spans="2:22">
      <c r="B109" s="16"/>
      <c r="C109" s="15"/>
      <c r="D109" s="15"/>
      <c r="E109" s="529"/>
      <c r="H109" s="12"/>
      <c r="I109" s="12"/>
      <c r="J109" s="110"/>
      <c r="K109" s="110"/>
      <c r="L109" s="110"/>
      <c r="M109" s="12"/>
      <c r="P109" s="39"/>
      <c r="Q109" s="39"/>
      <c r="R109" s="39"/>
      <c r="U109" s="25"/>
    </row>
    <row r="110" spans="2:22">
      <c r="E110" s="117"/>
      <c r="H110" s="12"/>
      <c r="I110" s="12"/>
      <c r="J110" s="110"/>
      <c r="K110" s="110"/>
      <c r="L110" s="110"/>
      <c r="M110" s="12"/>
      <c r="P110" s="39"/>
      <c r="Q110" s="39"/>
      <c r="R110" s="39"/>
    </row>
    <row r="111" spans="2:22">
      <c r="E111" s="117"/>
      <c r="J111" s="39"/>
      <c r="K111" s="39"/>
      <c r="P111" s="39"/>
      <c r="Q111" s="39"/>
      <c r="R111" s="39"/>
    </row>
    <row r="112" spans="2:22">
      <c r="E112" s="117"/>
      <c r="J112" s="39"/>
      <c r="K112" s="39"/>
      <c r="P112" s="39"/>
      <c r="Q112" s="39"/>
      <c r="R112" s="39"/>
    </row>
    <row r="113" spans="5:18">
      <c r="E113" s="117"/>
      <c r="J113" s="39"/>
      <c r="K113" s="39"/>
      <c r="P113" s="39"/>
      <c r="Q113" s="39"/>
      <c r="R113" s="39"/>
    </row>
    <row r="114" spans="5:18">
      <c r="E114" s="117"/>
      <c r="J114" s="39"/>
      <c r="K114" s="39"/>
      <c r="P114" s="39"/>
      <c r="Q114" s="39"/>
      <c r="R114" s="39"/>
    </row>
    <row r="115" spans="5:18">
      <c r="E115" s="117"/>
      <c r="J115" s="39"/>
      <c r="K115" s="39"/>
      <c r="P115" s="39"/>
      <c r="Q115" s="39"/>
      <c r="R115" s="39"/>
    </row>
    <row r="116" spans="5:18">
      <c r="E116" s="117"/>
      <c r="J116" s="39"/>
      <c r="K116" s="39"/>
      <c r="P116" s="39"/>
      <c r="Q116" s="39"/>
      <c r="R116" s="39"/>
    </row>
    <row r="117" spans="5:18">
      <c r="E117" s="117"/>
      <c r="J117" s="39"/>
      <c r="K117" s="39"/>
      <c r="P117" s="39"/>
      <c r="Q117" s="39"/>
      <c r="R117" s="39"/>
    </row>
    <row r="118" spans="5:18">
      <c r="E118" s="117"/>
      <c r="J118" s="39"/>
      <c r="K118" s="39"/>
      <c r="P118" s="39"/>
      <c r="Q118" s="39"/>
      <c r="R118" s="39"/>
    </row>
    <row r="119" spans="5:18">
      <c r="E119" s="117"/>
      <c r="J119" s="39"/>
      <c r="K119" s="39"/>
      <c r="P119" s="39"/>
      <c r="Q119" s="39"/>
      <c r="R119" s="39"/>
    </row>
    <row r="120" spans="5:18">
      <c r="E120" s="117"/>
      <c r="J120" s="39"/>
      <c r="K120" s="39"/>
      <c r="P120" s="39"/>
      <c r="Q120" s="39"/>
      <c r="R120" s="39"/>
    </row>
    <row r="121" spans="5:18">
      <c r="E121" s="117"/>
      <c r="J121" s="39"/>
      <c r="K121" s="39"/>
      <c r="P121" s="39"/>
      <c r="Q121" s="39"/>
      <c r="R121" s="39"/>
    </row>
    <row r="122" spans="5:18">
      <c r="E122" s="117"/>
      <c r="J122" s="39"/>
      <c r="K122" s="39"/>
      <c r="P122" s="39"/>
      <c r="Q122" s="39"/>
      <c r="R122" s="39"/>
    </row>
    <row r="123" spans="5:18">
      <c r="E123" s="117"/>
      <c r="J123" s="39"/>
      <c r="K123" s="39"/>
      <c r="P123" s="39"/>
      <c r="Q123" s="39"/>
      <c r="R123" s="39"/>
    </row>
    <row r="124" spans="5:18">
      <c r="E124" s="117"/>
      <c r="J124" s="39"/>
      <c r="K124" s="39"/>
      <c r="P124" s="39"/>
      <c r="Q124" s="39"/>
      <c r="R124" s="39"/>
    </row>
    <row r="125" spans="5:18">
      <c r="E125" s="117"/>
      <c r="J125" s="39"/>
      <c r="K125" s="39"/>
      <c r="P125" s="39"/>
      <c r="Q125" s="39"/>
      <c r="R125" s="39"/>
    </row>
    <row r="126" spans="5:18">
      <c r="E126" s="117"/>
      <c r="J126" s="39"/>
      <c r="K126" s="39"/>
      <c r="P126" s="39"/>
      <c r="Q126" s="39"/>
      <c r="R126" s="39"/>
    </row>
    <row r="127" spans="5:18">
      <c r="E127" s="117"/>
      <c r="P127" s="39"/>
      <c r="Q127" s="39"/>
      <c r="R127" s="39"/>
    </row>
    <row r="128" spans="5:18">
      <c r="E128" s="117"/>
      <c r="P128" s="39"/>
      <c r="Q128" s="39"/>
      <c r="R128" s="39"/>
    </row>
    <row r="129" spans="5:18">
      <c r="E129" s="117"/>
      <c r="P129" s="39"/>
      <c r="Q129" s="39"/>
      <c r="R129" s="39"/>
    </row>
    <row r="130" spans="5:18">
      <c r="E130" s="117"/>
      <c r="P130" s="39"/>
      <c r="Q130" s="39"/>
      <c r="R130" s="39"/>
    </row>
    <row r="131" spans="5:18">
      <c r="E131" s="117"/>
      <c r="P131" s="39"/>
      <c r="Q131" s="39"/>
      <c r="R131" s="39"/>
    </row>
    <row r="132" spans="5:18">
      <c r="E132" s="117"/>
      <c r="P132" s="39"/>
      <c r="Q132" s="39"/>
      <c r="R132" s="39"/>
    </row>
    <row r="133" spans="5:18">
      <c r="E133" s="117"/>
      <c r="P133" s="39"/>
      <c r="Q133" s="39"/>
      <c r="R133" s="39"/>
    </row>
    <row r="134" spans="5:18">
      <c r="E134" s="117"/>
      <c r="P134" s="39"/>
      <c r="Q134" s="39"/>
      <c r="R134" s="39"/>
    </row>
    <row r="135" spans="5:18">
      <c r="E135" s="117"/>
      <c r="P135" s="39"/>
      <c r="Q135" s="39"/>
      <c r="R135" s="39"/>
    </row>
    <row r="136" spans="5:18">
      <c r="E136" s="117"/>
      <c r="P136" s="39"/>
      <c r="Q136" s="39"/>
      <c r="R136" s="39"/>
    </row>
    <row r="137" spans="5:18">
      <c r="E137" s="117"/>
      <c r="P137" s="39"/>
      <c r="Q137" s="39"/>
      <c r="R137" s="39"/>
    </row>
    <row r="138" spans="5:18">
      <c r="E138" s="117"/>
      <c r="P138" s="39"/>
      <c r="Q138" s="39"/>
      <c r="R138" s="39"/>
    </row>
    <row r="139" spans="5:18">
      <c r="E139" s="117"/>
      <c r="P139" s="39"/>
      <c r="Q139" s="39"/>
      <c r="R139" s="39"/>
    </row>
    <row r="140" spans="5:18">
      <c r="E140" s="117"/>
      <c r="P140" s="39"/>
      <c r="Q140" s="39"/>
      <c r="R140" s="39"/>
    </row>
    <row r="141" spans="5:18">
      <c r="E141" s="117"/>
      <c r="P141" s="39"/>
      <c r="Q141" s="39"/>
      <c r="R141" s="39"/>
    </row>
    <row r="142" spans="5:18">
      <c r="E142" s="117"/>
      <c r="P142" s="39"/>
      <c r="Q142" s="39"/>
      <c r="R142" s="39"/>
    </row>
    <row r="143" spans="5:18">
      <c r="E143" s="117"/>
      <c r="P143" s="39"/>
      <c r="Q143" s="39"/>
      <c r="R143" s="39"/>
    </row>
    <row r="144" spans="5:18">
      <c r="E144" s="117"/>
      <c r="P144" s="39"/>
      <c r="Q144" s="39"/>
      <c r="R144" s="39"/>
    </row>
    <row r="145" spans="5:18">
      <c r="E145" s="117"/>
      <c r="P145" s="39"/>
      <c r="Q145" s="39"/>
      <c r="R145" s="39"/>
    </row>
    <row r="146" spans="5:18">
      <c r="E146" s="117"/>
      <c r="P146" s="39"/>
      <c r="Q146" s="39"/>
      <c r="R146" s="39"/>
    </row>
    <row r="147" spans="5:18">
      <c r="E147" s="117"/>
      <c r="P147" s="39"/>
      <c r="Q147" s="39"/>
      <c r="R147" s="39"/>
    </row>
    <row r="148" spans="5:18">
      <c r="E148" s="117"/>
      <c r="P148" s="39"/>
      <c r="Q148" s="39"/>
      <c r="R148" s="39"/>
    </row>
    <row r="149" spans="5:18">
      <c r="E149" s="117"/>
      <c r="P149" s="39"/>
      <c r="Q149" s="39"/>
      <c r="R149" s="39"/>
    </row>
    <row r="150" spans="5:18">
      <c r="E150" s="117"/>
      <c r="P150" s="39"/>
      <c r="Q150" s="39"/>
      <c r="R150" s="39"/>
    </row>
    <row r="151" spans="5:18">
      <c r="E151" s="117"/>
      <c r="P151" s="39"/>
      <c r="Q151" s="39"/>
      <c r="R151" s="39"/>
    </row>
    <row r="152" spans="5:18">
      <c r="E152" s="262"/>
      <c r="P152" s="39"/>
      <c r="Q152" s="39"/>
      <c r="R152" s="39"/>
    </row>
    <row r="153" spans="5:18">
      <c r="E153" s="262"/>
      <c r="P153" s="39"/>
      <c r="Q153" s="39"/>
      <c r="R153" s="39"/>
    </row>
    <row r="154" spans="5:18">
      <c r="E154" s="262"/>
      <c r="P154" s="39"/>
      <c r="Q154" s="39"/>
      <c r="R154" s="39"/>
    </row>
    <row r="155" spans="5:18">
      <c r="E155" s="262"/>
      <c r="P155" s="39"/>
      <c r="Q155" s="39"/>
      <c r="R155" s="39"/>
    </row>
    <row r="156" spans="5:18">
      <c r="E156" s="262"/>
      <c r="P156" s="39"/>
      <c r="Q156" s="39"/>
      <c r="R156" s="39"/>
    </row>
    <row r="157" spans="5:18">
      <c r="E157" s="262"/>
      <c r="P157" s="39"/>
      <c r="Q157" s="39"/>
      <c r="R157" s="39"/>
    </row>
    <row r="158" spans="5:18">
      <c r="E158" s="262"/>
      <c r="P158" s="39"/>
      <c r="Q158" s="39"/>
      <c r="R158" s="39"/>
    </row>
    <row r="159" spans="5:18">
      <c r="E159" s="262"/>
      <c r="P159" s="39"/>
      <c r="Q159" s="39"/>
      <c r="R159" s="39"/>
    </row>
    <row r="160" spans="5:18">
      <c r="E160" s="262"/>
      <c r="P160" s="39"/>
      <c r="Q160" s="39"/>
      <c r="R160" s="39"/>
    </row>
    <row r="161" spans="5:18">
      <c r="E161" s="262"/>
      <c r="P161" s="39"/>
      <c r="Q161" s="39"/>
      <c r="R161" s="39"/>
    </row>
    <row r="162" spans="5:18">
      <c r="E162" s="262"/>
      <c r="P162" s="39"/>
      <c r="Q162" s="39"/>
      <c r="R162" s="39"/>
    </row>
    <row r="163" spans="5:18">
      <c r="E163" s="262"/>
      <c r="P163" s="39"/>
      <c r="Q163" s="39"/>
      <c r="R163" s="39"/>
    </row>
    <row r="164" spans="5:18">
      <c r="E164" s="262"/>
      <c r="P164" s="39"/>
      <c r="Q164" s="39"/>
      <c r="R164" s="39"/>
    </row>
    <row r="165" spans="5:18">
      <c r="E165" s="262"/>
      <c r="P165" s="39"/>
      <c r="Q165" s="39"/>
      <c r="R165" s="39"/>
    </row>
    <row r="166" spans="5:18">
      <c r="E166" s="262"/>
      <c r="P166" s="39"/>
      <c r="Q166" s="39"/>
      <c r="R166" s="39"/>
    </row>
    <row r="167" spans="5:18">
      <c r="E167" s="262"/>
      <c r="P167" s="39"/>
      <c r="Q167" s="39"/>
      <c r="R167" s="39"/>
    </row>
    <row r="168" spans="5:18">
      <c r="E168" s="262"/>
      <c r="P168" s="39"/>
      <c r="Q168" s="39"/>
      <c r="R168" s="39"/>
    </row>
    <row r="169" spans="5:18">
      <c r="E169" s="262"/>
      <c r="P169" s="39"/>
      <c r="Q169" s="39"/>
      <c r="R169" s="39"/>
    </row>
    <row r="170" spans="5:18">
      <c r="E170" s="262"/>
      <c r="P170" s="39"/>
      <c r="Q170" s="39"/>
      <c r="R170" s="39"/>
    </row>
    <row r="171" spans="5:18">
      <c r="E171" s="262"/>
      <c r="P171" s="39"/>
      <c r="Q171" s="39"/>
      <c r="R171" s="39"/>
    </row>
    <row r="172" spans="5:18">
      <c r="E172" s="262"/>
      <c r="P172" s="39"/>
      <c r="Q172" s="39"/>
      <c r="R172" s="39"/>
    </row>
    <row r="173" spans="5:18">
      <c r="E173" s="262"/>
      <c r="P173" s="39"/>
      <c r="Q173" s="39"/>
      <c r="R173" s="39"/>
    </row>
    <row r="174" spans="5:18">
      <c r="E174" s="262"/>
      <c r="P174" s="39"/>
      <c r="Q174" s="39"/>
      <c r="R174" s="39"/>
    </row>
    <row r="175" spans="5:18">
      <c r="E175" s="262"/>
      <c r="P175" s="39"/>
      <c r="Q175" s="39"/>
      <c r="R175" s="39"/>
    </row>
    <row r="176" spans="5:18">
      <c r="E176" s="262"/>
      <c r="P176" s="39"/>
      <c r="Q176" s="39"/>
      <c r="R176" s="39"/>
    </row>
    <row r="177" spans="5:18">
      <c r="E177" s="262"/>
      <c r="P177" s="39"/>
      <c r="Q177" s="39"/>
      <c r="R177" s="39"/>
    </row>
    <row r="178" spans="5:18">
      <c r="E178" s="262"/>
      <c r="P178" s="39"/>
      <c r="Q178" s="39"/>
      <c r="R178" s="39"/>
    </row>
    <row r="179" spans="5:18">
      <c r="E179" s="262"/>
      <c r="P179" s="39"/>
      <c r="Q179" s="39"/>
      <c r="R179" s="39"/>
    </row>
    <row r="180" spans="5:18">
      <c r="E180" s="262"/>
      <c r="P180" s="39"/>
      <c r="Q180" s="39"/>
      <c r="R180" s="39"/>
    </row>
    <row r="181" spans="5:18">
      <c r="E181" s="262"/>
      <c r="P181" s="39"/>
      <c r="Q181" s="39"/>
      <c r="R181" s="39"/>
    </row>
    <row r="182" spans="5:18">
      <c r="E182" s="262"/>
      <c r="P182" s="39"/>
      <c r="Q182" s="39"/>
      <c r="R182" s="39"/>
    </row>
    <row r="183" spans="5:18">
      <c r="E183" s="262"/>
      <c r="P183" s="39"/>
      <c r="Q183" s="39"/>
      <c r="R183" s="39"/>
    </row>
    <row r="184" spans="5:18">
      <c r="E184" s="262"/>
      <c r="P184" s="39"/>
      <c r="Q184" s="39"/>
      <c r="R184" s="39"/>
    </row>
    <row r="185" spans="5:18">
      <c r="E185" s="262"/>
      <c r="P185" s="39"/>
      <c r="Q185" s="39"/>
      <c r="R185" s="39"/>
    </row>
    <row r="186" spans="5:18">
      <c r="E186" s="262"/>
      <c r="P186" s="39"/>
      <c r="Q186" s="39"/>
      <c r="R186" s="39"/>
    </row>
    <row r="187" spans="5:18">
      <c r="E187" s="262"/>
      <c r="P187" s="39"/>
      <c r="Q187" s="39"/>
      <c r="R187" s="39"/>
    </row>
    <row r="188" spans="5:18">
      <c r="E188" s="262"/>
      <c r="P188" s="39"/>
      <c r="Q188" s="39"/>
      <c r="R188" s="39"/>
    </row>
    <row r="189" spans="5:18">
      <c r="E189" s="262"/>
      <c r="P189" s="39"/>
      <c r="Q189" s="39"/>
      <c r="R189" s="39"/>
    </row>
    <row r="190" spans="5:18">
      <c r="E190" s="262"/>
      <c r="P190" s="39"/>
      <c r="Q190" s="39"/>
      <c r="R190" s="39"/>
    </row>
    <row r="191" spans="5:18">
      <c r="E191" s="262"/>
      <c r="P191" s="39"/>
      <c r="Q191" s="39"/>
      <c r="R191" s="39"/>
    </row>
    <row r="192" spans="5:18">
      <c r="E192" s="262"/>
      <c r="P192" s="39"/>
      <c r="Q192" s="39"/>
      <c r="R192" s="39"/>
    </row>
    <row r="193" spans="5:18">
      <c r="E193" s="262"/>
      <c r="P193" s="39"/>
      <c r="Q193" s="39"/>
      <c r="R193" s="39"/>
    </row>
    <row r="194" spans="5:18">
      <c r="E194" s="262"/>
    </row>
    <row r="195" spans="5:18">
      <c r="E195" s="262"/>
    </row>
    <row r="196" spans="5:18">
      <c r="E196" s="262"/>
    </row>
    <row r="197" spans="5:18">
      <c r="E197" s="262"/>
    </row>
    <row r="198" spans="5:18">
      <c r="E198" s="262"/>
    </row>
    <row r="199" spans="5:18">
      <c r="E199" s="262"/>
    </row>
    <row r="200" spans="5:18">
      <c r="E200" s="262"/>
    </row>
    <row r="201" spans="5:18">
      <c r="E201" s="262"/>
    </row>
    <row r="202" spans="5:18">
      <c r="E202" s="262"/>
    </row>
    <row r="203" spans="5:18">
      <c r="E203" s="262"/>
    </row>
    <row r="204" spans="5:18">
      <c r="E204" s="262"/>
    </row>
    <row r="205" spans="5:18">
      <c r="E205" s="262"/>
    </row>
    <row r="206" spans="5:18">
      <c r="E206" s="262"/>
    </row>
    <row r="207" spans="5:18">
      <c r="E207" s="262"/>
    </row>
    <row r="208" spans="5:18">
      <c r="E208" s="262"/>
    </row>
    <row r="209" spans="5:5">
      <c r="E209" s="262"/>
    </row>
    <row r="210" spans="5:5">
      <c r="E210" s="262"/>
    </row>
    <row r="211" spans="5:5">
      <c r="E211" s="262"/>
    </row>
    <row r="212" spans="5:5">
      <c r="E212" s="262"/>
    </row>
    <row r="213" spans="5:5">
      <c r="E213" s="262"/>
    </row>
    <row r="214" spans="5:5">
      <c r="E214" s="262"/>
    </row>
    <row r="215" spans="5:5">
      <c r="E215" s="262"/>
    </row>
    <row r="216" spans="5:5">
      <c r="E216" s="262"/>
    </row>
    <row r="217" spans="5:5">
      <c r="E217" s="262"/>
    </row>
    <row r="218" spans="5:5">
      <c r="E218" s="262"/>
    </row>
    <row r="219" spans="5:5">
      <c r="E219" s="262"/>
    </row>
    <row r="220" spans="5:5">
      <c r="E220" s="262"/>
    </row>
    <row r="221" spans="5:5">
      <c r="E221" s="262"/>
    </row>
    <row r="222" spans="5:5">
      <c r="E222" s="262"/>
    </row>
    <row r="223" spans="5:5">
      <c r="E223" s="262"/>
    </row>
    <row r="224" spans="5:5">
      <c r="E224" s="262"/>
    </row>
    <row r="225" spans="5:5">
      <c r="E225" s="262"/>
    </row>
    <row r="226" spans="5:5">
      <c r="E226" s="262"/>
    </row>
    <row r="227" spans="5:5">
      <c r="E227" s="262"/>
    </row>
    <row r="228" spans="5:5">
      <c r="E228" s="262"/>
    </row>
    <row r="229" spans="5:5">
      <c r="E229" s="262"/>
    </row>
    <row r="230" spans="5:5">
      <c r="E230" s="262"/>
    </row>
    <row r="231" spans="5:5">
      <c r="E231" s="262"/>
    </row>
    <row r="232" spans="5:5">
      <c r="E232" s="262"/>
    </row>
    <row r="233" spans="5:5">
      <c r="E233" s="262"/>
    </row>
    <row r="234" spans="5:5">
      <c r="E234" s="262"/>
    </row>
    <row r="235" spans="5:5">
      <c r="E235" s="262"/>
    </row>
    <row r="236" spans="5:5">
      <c r="E236" s="262"/>
    </row>
    <row r="237" spans="5:5">
      <c r="E237" s="262"/>
    </row>
    <row r="238" spans="5:5">
      <c r="E238" s="262"/>
    </row>
    <row r="239" spans="5:5">
      <c r="E239" s="262"/>
    </row>
    <row r="240" spans="5:5">
      <c r="E240" s="262"/>
    </row>
    <row r="241" spans="5:5">
      <c r="E241" s="262"/>
    </row>
    <row r="242" spans="5:5">
      <c r="E242" s="262"/>
    </row>
    <row r="243" spans="5:5">
      <c r="E243" s="262"/>
    </row>
    <row r="244" spans="5:5">
      <c r="E244" s="262"/>
    </row>
    <row r="245" spans="5:5">
      <c r="E245" s="262"/>
    </row>
    <row r="246" spans="5:5">
      <c r="E246" s="262"/>
    </row>
    <row r="247" spans="5:5">
      <c r="E247" s="262"/>
    </row>
    <row r="248" spans="5:5">
      <c r="E248" s="262"/>
    </row>
    <row r="249" spans="5:5">
      <c r="E249" s="262"/>
    </row>
    <row r="250" spans="5:5">
      <c r="E250" s="262"/>
    </row>
    <row r="251" spans="5:5">
      <c r="E251" s="262"/>
    </row>
    <row r="252" spans="5:5">
      <c r="E252" s="262"/>
    </row>
    <row r="253" spans="5:5">
      <c r="E253" s="262"/>
    </row>
    <row r="254" spans="5:5">
      <c r="E254" s="262"/>
    </row>
    <row r="255" spans="5:5">
      <c r="E255" s="262"/>
    </row>
    <row r="256" spans="5:5">
      <c r="E256" s="262"/>
    </row>
    <row r="257" spans="5:5">
      <c r="E257" s="262"/>
    </row>
    <row r="258" spans="5:5">
      <c r="E258" s="262"/>
    </row>
    <row r="259" spans="5:5">
      <c r="E259" s="262"/>
    </row>
    <row r="260" spans="5:5">
      <c r="E260" s="262"/>
    </row>
    <row r="261" spans="5:5">
      <c r="E261" s="262"/>
    </row>
    <row r="262" spans="5:5">
      <c r="E262" s="262"/>
    </row>
    <row r="263" spans="5:5">
      <c r="E263" s="262"/>
    </row>
    <row r="264" spans="5:5">
      <c r="E264" s="262"/>
    </row>
    <row r="265" spans="5:5">
      <c r="E265" s="262"/>
    </row>
    <row r="266" spans="5:5">
      <c r="E266" s="262"/>
    </row>
    <row r="267" spans="5:5">
      <c r="E267" s="262"/>
    </row>
    <row r="268" spans="5:5">
      <c r="E268" s="262"/>
    </row>
    <row r="269" spans="5:5">
      <c r="E269" s="262"/>
    </row>
    <row r="270" spans="5:5">
      <c r="E270" s="262"/>
    </row>
    <row r="271" spans="5:5">
      <c r="E271" s="262"/>
    </row>
    <row r="272" spans="5:5">
      <c r="E272" s="262"/>
    </row>
    <row r="273" spans="5:5">
      <c r="E273" s="262"/>
    </row>
  </sheetData>
  <customSheetViews>
    <customSheetView guid="{43B6AE9C-E429-4506-98F3-C388B54AB8B6}" showGridLines="0">
      <pane xSplit="3" ySplit="5" topLeftCell="D6" activePane="bottomRight" state="frozen"/>
      <selection pane="bottomRight" activeCell="D1" sqref="D1"/>
      <pageMargins left="0" right="0" top="0" bottom="0" header="0" footer="0"/>
    </customSheetView>
    <customSheetView guid="{D41C0D8C-591E-4B34-99B3-B45BA51A58EC}" showGridLines="0" state="hidden">
      <pane xSplit="3" ySplit="5" topLeftCell="D6" activePane="bottomRight" state="frozen"/>
      <selection pane="bottomRight" activeCell="D1" sqref="D1"/>
      <pageMargins left="0" right="0" top="0" bottom="0" header="0" footer="0"/>
    </customSheetView>
    <customSheetView guid="{8F590910-6C03-4233-9C41-6540BF2DE453}" showGridLines="0" state="hidden">
      <pane xSplit="3" ySplit="5" topLeftCell="D6" activePane="bottomRight" state="frozen"/>
      <selection pane="bottomRight" activeCell="D1" sqref="D1"/>
      <pageMargins left="0" right="0" top="0" bottom="0" header="0" footer="0"/>
    </customSheetView>
    <customSheetView guid="{55CEC4CC-9BBF-4F2D-BA17-E94F4B26FAC5}" showGridLines="0" state="hidden">
      <pane xSplit="3" ySplit="5" topLeftCell="D6" activePane="bottomRight" state="frozen"/>
      <selection pane="bottomRight" activeCell="D1" sqref="D1"/>
      <pageMargins left="0" right="0" top="0" bottom="0" header="0" footer="0"/>
    </customSheetView>
    <customSheetView guid="{7735C88E-3A13-4DCF-BB32-4D20A306A8BB}" showGridLines="0" state="hidden">
      <pane xSplit="3" ySplit="5" topLeftCell="D6" activePane="bottomRight" state="frozen"/>
      <selection pane="bottomRight" activeCell="D1" sqref="D1"/>
      <pageMargins left="0" right="0" top="0" bottom="0" header="0" footer="0"/>
    </customSheetView>
    <customSheetView guid="{27B9E3C6-8189-41E0-896B-02A30393FDC0}" showGridLines="0" state="hidden">
      <pane xSplit="3" ySplit="5" topLeftCell="D6" activePane="bottomRight" state="frozen"/>
      <selection pane="bottomRight" activeCell="D1" sqref="D1"/>
      <pageMargins left="0" right="0" top="0" bottom="0" header="0" footer="0"/>
    </customSheetView>
    <customSheetView guid="{ED9AC919-98EB-43A3-A158-23FD7D007D30}" showGridLines="0">
      <pane xSplit="3" ySplit="5" topLeftCell="D6" activePane="bottomRight" state="frozen"/>
      <selection pane="bottomRight" activeCell="D1" sqref="D1"/>
      <pageMargins left="0" right="0" top="0" bottom="0" header="0" footer="0"/>
    </customSheetView>
  </customSheetViews>
  <mergeCells count="1">
    <mergeCell ref="I2:K2"/>
  </mergeCells>
  <dataValidations count="2">
    <dataValidation type="list" allowBlank="1" showInputMessage="1" showErrorMessage="1" sqref="D20:D30 D34:D43 D53:D55 D86:D88 D74:D76 D92:D99 D65:D70 D47:D50 D63 D72 D80:D83 D59:D61 D8 D10:D17" xr:uid="{9220F40D-2B35-4180-B735-453C775A462F}">
      <formula1>Flow_units</formula1>
    </dataValidation>
    <dataValidation type="custom" allowBlank="1" showInputMessage="1" showErrorMessage="1" error="Please do not change this formula" prompt="Please do not change this formula" sqref="M4 T4 N6:O1048576 S104:S1048576 L1:L1048576 N5:S5 N1:O4 S1:S4 S6:S17 S19:S98 S99:S102" xr:uid="{21ADC1AC-BB3F-4086-B5E4-DFE0BD26773D}">
      <formula1>"Please do not change this formula"</formula1>
    </dataValidation>
  </dataValidations>
  <hyperlinks>
    <hyperlink ref="I2:J2" location="GHG_WASTE_GASIFICATION!A1" display="Go to the summary tab of this pathway" xr:uid="{F40DCEDB-E312-463C-B789-0763E090C683}"/>
  </hyperlinks>
  <pageMargins left="0" right="0" top="0" bottom="0" header="0" footer="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7" id="{DECA6C23-083D-41F7-A157-3F5321B003CB}">
            <xm:f>AND(Initial_questions!$E$21&lt;&gt;"Waste Gasification with CCS",Initial_questions!$E$21&lt;&gt;"Waste Gasification without CCS",Master_Switch="On")</xm:f>
            <x14:dxf>
              <font>
                <color theme="0"/>
              </font>
              <fill>
                <patternFill>
                  <bgColor theme="0"/>
                </patternFill>
              </fill>
              <border>
                <left/>
                <right/>
                <top/>
                <bottom/>
                <vertical/>
                <horizontal/>
              </border>
            </x14:dxf>
          </x14:cfRule>
          <xm:sqref>A2:XFD150</xm:sqref>
        </x14:conditionalFormatting>
        <x14:conditionalFormatting xmlns:xm="http://schemas.microsoft.com/office/excel/2006/main">
          <x14:cfRule type="expression" priority="31" id="{50C4A571-C9B6-447D-B090-45A591B2C030}">
            <xm:f>AND(OR(GHG_WASTE_GASIFICATION!$D$9="Default",GHG_WASTE_GASIFICATION!$D$30="Default"),Master_Switch="On")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3" id="{794C5D9F-EEC7-4DF7-B404-D0FDDBFAA0E5}">
            <xm:f>AND(OR(GHG_WASTE_GASIFICATION!$D$10="Default",GHG_WASTE_GASIFICATION!$D$31="Default"),Master_Switch="On")</xm:f>
            <x14:dxf>
              <font>
                <color theme="0"/>
              </font>
              <fill>
                <patternFill>
                  <bgColor theme="0"/>
                </patternFill>
              </fill>
              <border>
                <left/>
                <right/>
                <top/>
                <bottom/>
                <vertical/>
                <horizontal/>
              </border>
            </x14:dxf>
          </x14:cfRule>
          <xm:sqref>A34:XFD43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F26B060-DE8B-41A7-9079-03B43D2C1497}">
          <x14:formula1>
            <xm:f>Units!$X$120</xm:f>
          </x14:formula1>
          <xm:sqref>D9</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3424-C4B6-4491-8293-10CC0C9E1234}">
  <sheetPr codeName="Sheet49">
    <tabColor theme="0" tint="-0.34998626667073579"/>
  </sheetPr>
  <dimension ref="A1:Z190"/>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5.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IF(AND(Initial_questions!$E$21&lt;&gt;"Other",Master_Switch="On"),"User should not fill in this sheet, but switch to other non-blank GHG worksheets","")</f>
        <v>User should not fill in this sheet, but switch to other non-blank GHG worksheets</v>
      </c>
      <c r="E1" s="262"/>
    </row>
    <row r="2" spans="1:26" ht="20.399999999999999" customHeight="1">
      <c r="B2" s="83" t="str">
        <f>IF(AND(Initial_questions!$E$62&lt;&gt;"Cereals and other starch-rich crops", Initial_questions!$E$62&lt;&gt;"Sugar crops", Initial_questions!$E$62&lt;&gt;"Oil crops", Initial_questions!$E$62&lt;&gt;"Other crop",Master_Switch="On"),"Not a purpose-grown feedstock, move to the next step of the pathway","")</f>
        <v>Not a purpose-grown feedstock, move to the next step of the pathway</v>
      </c>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90" t="s">
        <v>592</v>
      </c>
      <c r="C8" s="188" t="s">
        <v>646</v>
      </c>
      <c r="D8" s="183" t="s">
        <v>747</v>
      </c>
      <c r="E8" s="35"/>
      <c r="F8" s="24"/>
      <c r="G8" s="21"/>
      <c r="H8" s="20"/>
      <c r="I8" s="36"/>
      <c r="J8" s="307"/>
      <c r="K8" s="309"/>
      <c r="L8" s="247">
        <f t="shared" ref="L8:L17" si="0">IF($D8="MWh/yr (LHV)",$E8,$J8*$E8/Conversion_kWh_to_MJ)</f>
        <v>0</v>
      </c>
      <c r="M8" s="12"/>
      <c r="P8" s="35" t="str">
        <f t="shared" ref="P8" si="1">IF(B8="", "", IF(D8="MWh/yr (LHV)", "Use column to right", "Enter data here"))</f>
        <v>Use column to right</v>
      </c>
      <c r="Q8" s="35" t="e">
        <f>INDEX(Assumptions!$F$5:$AJ$5,1,MATCH(Initial_questions!$E$24,Assumptions!$F$4:$AJ$4,0))*1000/Conversion_kWh_to_MJ</f>
        <v>#N/A</v>
      </c>
      <c r="R8" s="35" t="s">
        <v>896</v>
      </c>
      <c r="S8" s="269" t="str">
        <f t="shared" ref="S8:S17" si="2">IFERROR(IF(D8="tonnes/yr", $P8*$E8/($L$20*3.6), $Q8*$E8*3.6/($L$20*3.6)), "Unfilled fields to left")</f>
        <v>Unfilled fields to left</v>
      </c>
      <c r="U8" s="25"/>
      <c r="V8" s="12"/>
    </row>
    <row r="9" spans="1:26">
      <c r="B9" s="190" t="s">
        <v>592</v>
      </c>
      <c r="C9" s="188"/>
      <c r="D9" s="183"/>
      <c r="E9" s="35"/>
      <c r="F9" s="24"/>
      <c r="G9" s="21"/>
      <c r="H9" s="20"/>
      <c r="I9" s="36"/>
      <c r="J9" s="307"/>
      <c r="K9" s="309"/>
      <c r="L9" s="247">
        <f t="shared" si="0"/>
        <v>0</v>
      </c>
      <c r="M9" s="12"/>
      <c r="P9" s="35" t="str">
        <f t="shared" ref="P9:P17" si="3">IF(B9="", "", IF(D9="MWh/yr (LHV)", "Use column to right", "Enter data here"))</f>
        <v>Enter data here</v>
      </c>
      <c r="Q9" s="35" t="str">
        <f t="shared" ref="Q9:Q17" si="4">IF(B9="", "", IF(D9="MWh/yr (LHV)", "Enter data here", "Use column to left"))</f>
        <v>Use column to left</v>
      </c>
      <c r="R9" s="35" t="s">
        <v>898</v>
      </c>
      <c r="S9" s="269" t="str">
        <f t="shared" si="2"/>
        <v>Unfilled fields to left</v>
      </c>
      <c r="U9" s="25"/>
      <c r="V9" s="12"/>
    </row>
    <row r="10" spans="1:26">
      <c r="B10" s="190" t="s">
        <v>599</v>
      </c>
      <c r="C10" s="188" t="s">
        <v>600</v>
      </c>
      <c r="D10" s="183" t="s">
        <v>582</v>
      </c>
      <c r="E10" s="35"/>
      <c r="F10" s="24"/>
      <c r="G10" s="21"/>
      <c r="H10" s="20"/>
      <c r="I10" s="36"/>
      <c r="J10" s="307"/>
      <c r="K10" s="309"/>
      <c r="L10" s="247">
        <f t="shared" si="0"/>
        <v>0</v>
      </c>
      <c r="M10" s="12"/>
      <c r="P10" s="35" t="str">
        <f t="shared" si="3"/>
        <v>Enter data here</v>
      </c>
      <c r="Q10" s="35" t="str">
        <f t="shared" si="4"/>
        <v>Use column to left</v>
      </c>
      <c r="R10" s="35" t="s">
        <v>898</v>
      </c>
      <c r="S10" s="269" t="str">
        <f t="shared" si="2"/>
        <v>Unfilled fields to left</v>
      </c>
      <c r="T10" s="94"/>
      <c r="U10" s="25"/>
      <c r="V10" s="12"/>
    </row>
    <row r="11" spans="1:26">
      <c r="B11" s="190" t="s">
        <v>599</v>
      </c>
      <c r="C11" s="188" t="s">
        <v>601</v>
      </c>
      <c r="D11" s="183" t="s">
        <v>582</v>
      </c>
      <c r="E11" s="35"/>
      <c r="F11" s="21"/>
      <c r="G11" s="21"/>
      <c r="H11" s="20"/>
      <c r="I11" s="36"/>
      <c r="J11" s="307"/>
      <c r="K11" s="309"/>
      <c r="L11" s="247">
        <f t="shared" si="0"/>
        <v>0</v>
      </c>
      <c r="M11" s="12"/>
      <c r="P11" s="35" t="str">
        <f t="shared" si="3"/>
        <v>Enter data here</v>
      </c>
      <c r="Q11" s="35" t="str">
        <f t="shared" si="4"/>
        <v>Use column to left</v>
      </c>
      <c r="R11" s="35" t="s">
        <v>898</v>
      </c>
      <c r="S11" s="269" t="str">
        <f t="shared" si="2"/>
        <v>Unfilled fields to left</v>
      </c>
      <c r="U11" s="25"/>
      <c r="V11" s="12"/>
    </row>
    <row r="12" spans="1:26">
      <c r="B12" s="190" t="s">
        <v>605</v>
      </c>
      <c r="C12" s="188" t="s">
        <v>585</v>
      </c>
      <c r="D12" s="183" t="s">
        <v>582</v>
      </c>
      <c r="E12" s="35"/>
      <c r="F12" s="21"/>
      <c r="G12" s="21"/>
      <c r="H12" s="20"/>
      <c r="I12" s="36"/>
      <c r="J12" s="307"/>
      <c r="K12" s="309"/>
      <c r="L12" s="247">
        <f t="shared" si="0"/>
        <v>0</v>
      </c>
      <c r="M12" s="12"/>
      <c r="P12" s="35" t="str">
        <f t="shared" si="3"/>
        <v>Enter data here</v>
      </c>
      <c r="Q12" s="35" t="str">
        <f t="shared" si="4"/>
        <v>Use column to left</v>
      </c>
      <c r="R12" s="35" t="s">
        <v>898</v>
      </c>
      <c r="S12" s="269" t="str">
        <f t="shared" si="2"/>
        <v>Unfilled fields to left</v>
      </c>
      <c r="U12" s="25"/>
      <c r="V12" s="12"/>
    </row>
    <row r="13" spans="1:26">
      <c r="B13" s="190" t="s">
        <v>605</v>
      </c>
      <c r="C13" s="188" t="s">
        <v>635</v>
      </c>
      <c r="D13" s="183" t="s">
        <v>582</v>
      </c>
      <c r="E13" s="35"/>
      <c r="F13" s="21"/>
      <c r="G13" s="21"/>
      <c r="H13" s="20"/>
      <c r="I13" s="36"/>
      <c r="J13" s="307"/>
      <c r="K13" s="309"/>
      <c r="L13" s="247">
        <f t="shared" si="0"/>
        <v>0</v>
      </c>
      <c r="M13" s="12"/>
      <c r="P13" s="35" t="str">
        <f t="shared" si="3"/>
        <v>Enter data here</v>
      </c>
      <c r="Q13" s="35" t="str">
        <f t="shared" si="4"/>
        <v>Use column to left</v>
      </c>
      <c r="R13" s="35" t="s">
        <v>898</v>
      </c>
      <c r="S13" s="269" t="str">
        <f t="shared" si="2"/>
        <v>Unfilled fields to left</v>
      </c>
      <c r="U13" s="25"/>
      <c r="V13" s="12"/>
    </row>
    <row r="14" spans="1:26">
      <c r="B14" s="190" t="s">
        <v>657</v>
      </c>
      <c r="C14" s="188" t="s">
        <v>609</v>
      </c>
      <c r="D14" s="183" t="s">
        <v>582</v>
      </c>
      <c r="E14" s="35"/>
      <c r="F14" s="21"/>
      <c r="G14" s="21"/>
      <c r="H14" s="20"/>
      <c r="I14" s="36"/>
      <c r="J14" s="307"/>
      <c r="K14" s="309"/>
      <c r="L14" s="247">
        <f t="shared" si="0"/>
        <v>0</v>
      </c>
      <c r="M14" s="12"/>
      <c r="P14" s="35" t="str">
        <f t="shared" si="3"/>
        <v>Enter data here</v>
      </c>
      <c r="Q14" s="35" t="str">
        <f t="shared" si="4"/>
        <v>Use column to left</v>
      </c>
      <c r="R14" s="35" t="s">
        <v>898</v>
      </c>
      <c r="S14" s="269" t="str">
        <f t="shared" si="2"/>
        <v>Unfilled fields to left</v>
      </c>
      <c r="U14" s="25"/>
      <c r="V14" s="12"/>
    </row>
    <row r="15" spans="1:26">
      <c r="B15" s="190" t="s">
        <v>657</v>
      </c>
      <c r="C15" s="188" t="s">
        <v>677</v>
      </c>
      <c r="D15" s="183" t="s">
        <v>582</v>
      </c>
      <c r="E15" s="35"/>
      <c r="F15" s="21"/>
      <c r="G15" s="21"/>
      <c r="H15" s="20"/>
      <c r="I15" s="36"/>
      <c r="J15" s="307"/>
      <c r="K15" s="309"/>
      <c r="L15" s="247">
        <f t="shared" si="0"/>
        <v>0</v>
      </c>
      <c r="M15" s="12"/>
      <c r="P15" s="35" t="str">
        <f t="shared" si="3"/>
        <v>Enter data here</v>
      </c>
      <c r="Q15" s="35" t="str">
        <f t="shared" si="4"/>
        <v>Use column to left</v>
      </c>
      <c r="R15" s="35" t="s">
        <v>898</v>
      </c>
      <c r="S15" s="269" t="str">
        <f t="shared" si="2"/>
        <v>Unfilled fields to left</v>
      </c>
      <c r="U15" s="25"/>
      <c r="V15" s="12"/>
    </row>
    <row r="16" spans="1:26">
      <c r="B16" s="190"/>
      <c r="C16" s="188"/>
      <c r="D16" s="183"/>
      <c r="E16" s="35"/>
      <c r="F16" s="21"/>
      <c r="G16" s="21"/>
      <c r="H16" s="20"/>
      <c r="I16" s="36"/>
      <c r="J16" s="307"/>
      <c r="K16" s="309"/>
      <c r="L16" s="247">
        <f t="shared" si="0"/>
        <v>0</v>
      </c>
      <c r="M16" s="12"/>
      <c r="P16" s="35" t="str">
        <f t="shared" ref="P16" si="5">IF(B16="", "", IF(D16="MWh/yr (LHV)", "Use column to right", "Enter data here"))</f>
        <v/>
      </c>
      <c r="Q16" s="35" t="str">
        <f t="shared" ref="Q16" si="6">IF(B16="", "", IF(D16="MWh/yr (LHV)", "Enter data here", "Use column to left"))</f>
        <v/>
      </c>
      <c r="R16" s="35"/>
      <c r="S16" s="269" t="str">
        <f t="shared" si="2"/>
        <v>Unfilled fields to left</v>
      </c>
      <c r="U16" s="25"/>
      <c r="V16" s="12"/>
    </row>
    <row r="17" spans="2:26">
      <c r="B17" s="16"/>
      <c r="C17" s="15"/>
      <c r="D17" s="183"/>
      <c r="E17" s="35"/>
      <c r="F17" s="21"/>
      <c r="G17" s="21"/>
      <c r="H17" s="20"/>
      <c r="I17" s="36"/>
      <c r="J17" s="307"/>
      <c r="K17" s="309"/>
      <c r="L17" s="247">
        <f t="shared" si="0"/>
        <v>0</v>
      </c>
      <c r="M17" s="12"/>
      <c r="P17" s="35" t="str">
        <f t="shared" si="3"/>
        <v/>
      </c>
      <c r="Q17" s="35" t="str">
        <f t="shared" si="4"/>
        <v/>
      </c>
      <c r="R17" s="35"/>
      <c r="S17" s="269" t="str">
        <f t="shared" si="2"/>
        <v>Unfilled fields to left</v>
      </c>
      <c r="U17" s="25"/>
      <c r="V17" s="12"/>
    </row>
    <row r="18" spans="2:26">
      <c r="C18" s="17"/>
      <c r="D18" s="17"/>
      <c r="E18" s="534"/>
      <c r="F18" s="26"/>
      <c r="G18" s="27"/>
      <c r="H18" s="22"/>
      <c r="I18" s="22"/>
      <c r="J18" s="41"/>
      <c r="K18" s="41"/>
      <c r="L18" s="41"/>
      <c r="P18" s="41"/>
      <c r="Q18" s="41"/>
      <c r="R18" s="41"/>
      <c r="S18" s="143"/>
      <c r="U18" s="27"/>
      <c r="V18" s="12"/>
    </row>
    <row r="19" spans="2:26">
      <c r="B19" s="149" t="s">
        <v>637</v>
      </c>
      <c r="C19" s="149"/>
      <c r="D19" s="149"/>
      <c r="E19" s="308"/>
      <c r="F19" s="149"/>
      <c r="G19" s="149"/>
      <c r="H19" s="149"/>
      <c r="I19" s="149"/>
      <c r="J19" s="308"/>
      <c r="K19" s="308"/>
      <c r="L19" s="308"/>
      <c r="N19"/>
      <c r="O19"/>
      <c r="P19" s="40"/>
      <c r="Q19" s="40"/>
      <c r="R19" s="40"/>
      <c r="S19" s="144"/>
      <c r="T19" s="19"/>
      <c r="U19" s="19"/>
      <c r="V19" s="19"/>
      <c r="W19" s="19"/>
      <c r="X19" s="19"/>
      <c r="Y19" s="19"/>
      <c r="Z19" s="19"/>
    </row>
    <row r="20" spans="2:26">
      <c r="B20" s="16" t="s">
        <v>638</v>
      </c>
      <c r="C20" s="188" t="s">
        <v>678</v>
      </c>
      <c r="D20" s="183" t="s">
        <v>582</v>
      </c>
      <c r="E20" s="35"/>
      <c r="F20" s="24"/>
      <c r="G20" s="21"/>
      <c r="H20" s="21"/>
      <c r="I20" s="21"/>
      <c r="J20" s="307"/>
      <c r="K20" s="313"/>
      <c r="L20" s="247">
        <f t="shared" ref="L20:L32" si="7">IF($D20="MWh/yr (LHV)",$E20,$J20*$E20/Conversion_kWh_to_MJ)</f>
        <v>0</v>
      </c>
      <c r="N20" s="251" t="s">
        <v>485</v>
      </c>
      <c r="O20" s="250" t="str">
        <f>IFERROR(L20/(SUM($L$20:$L$22)),"")</f>
        <v/>
      </c>
      <c r="P20" s="42"/>
      <c r="Q20" s="42"/>
      <c r="R20" s="42"/>
      <c r="S20" s="145"/>
      <c r="U20" s="21"/>
      <c r="V20" s="12"/>
    </row>
    <row r="21" spans="2:26" s="14" customFormat="1">
      <c r="B21" s="190" t="s">
        <v>583</v>
      </c>
      <c r="C21" s="188" t="s">
        <v>804</v>
      </c>
      <c r="D21" s="183" t="s">
        <v>582</v>
      </c>
      <c r="E21" s="35"/>
      <c r="F21" s="21"/>
      <c r="G21" s="21"/>
      <c r="H21" s="20"/>
      <c r="I21" s="33"/>
      <c r="J21" s="307"/>
      <c r="K21" s="309"/>
      <c r="L21" s="247">
        <f t="shared" si="7"/>
        <v>0</v>
      </c>
      <c r="M21" s="12"/>
      <c r="N21" s="12"/>
      <c r="O21" s="250" t="str">
        <f t="shared" ref="O21:O22" si="8">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7"/>
        <v>0</v>
      </c>
      <c r="M22" s="12"/>
      <c r="N22" s="12"/>
      <c r="O22" s="250" t="str">
        <f t="shared" si="8"/>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7"/>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7"/>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7"/>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7"/>
        <v>0</v>
      </c>
      <c r="M26" s="12"/>
      <c r="N26" s="12"/>
      <c r="O26" s="12"/>
      <c r="P26" s="110"/>
      <c r="Q26" s="110"/>
      <c r="R26" s="110"/>
      <c r="S26" s="12"/>
      <c r="U26" s="21"/>
    </row>
    <row r="27" spans="2:26" s="14" customFormat="1">
      <c r="B27" s="190" t="s">
        <v>808</v>
      </c>
      <c r="C27" s="188" t="s">
        <v>822</v>
      </c>
      <c r="D27" s="183" t="s">
        <v>582</v>
      </c>
      <c r="E27" s="35"/>
      <c r="F27" s="34"/>
      <c r="G27" s="21"/>
      <c r="H27" s="20"/>
      <c r="I27" s="36"/>
      <c r="J27" s="307"/>
      <c r="K27" s="309"/>
      <c r="L27" s="247">
        <f t="shared" si="7"/>
        <v>0</v>
      </c>
      <c r="M27" s="12"/>
      <c r="N27" s="12"/>
      <c r="O27" s="12"/>
      <c r="P27" s="307">
        <f>1*1000</f>
        <v>1000</v>
      </c>
      <c r="Q27" s="505"/>
      <c r="R27" s="35" t="s">
        <v>651</v>
      </c>
      <c r="S27" s="269" t="str">
        <f t="shared" ref="S27:S32" si="9">IFERROR(IF(D27="tonnes/yr", $P27*$E27/($L$20*3.6), $Q27*$E27*3.6/($L$20*3.6)), "Unfilled fields to left")</f>
        <v>Unfilled fields to left</v>
      </c>
      <c r="U27" s="21"/>
    </row>
    <row r="28" spans="2:26" s="14" customFormat="1">
      <c r="B28" s="190" t="s">
        <v>808</v>
      </c>
      <c r="C28" s="188" t="s">
        <v>820</v>
      </c>
      <c r="D28" s="183" t="s">
        <v>582</v>
      </c>
      <c r="E28" s="35"/>
      <c r="F28" s="34"/>
      <c r="G28" s="21"/>
      <c r="H28" s="20"/>
      <c r="I28" s="36"/>
      <c r="J28" s="307"/>
      <c r="K28" s="309"/>
      <c r="L28" s="247">
        <f t="shared" si="7"/>
        <v>0</v>
      </c>
      <c r="M28" s="12"/>
      <c r="N28" s="12"/>
      <c r="O28" s="12"/>
      <c r="P28" s="307">
        <f>1*1000</f>
        <v>1000</v>
      </c>
      <c r="Q28" s="505"/>
      <c r="R28" s="35" t="s">
        <v>651</v>
      </c>
      <c r="S28" s="269" t="str">
        <f t="shared" si="9"/>
        <v>Unfilled fields to left</v>
      </c>
      <c r="U28" s="21"/>
    </row>
    <row r="29" spans="2:26" s="14" customFormat="1">
      <c r="B29" s="190" t="s">
        <v>640</v>
      </c>
      <c r="C29" s="188" t="s">
        <v>660</v>
      </c>
      <c r="D29" s="183" t="s">
        <v>582</v>
      </c>
      <c r="E29" s="35"/>
      <c r="F29" s="34"/>
      <c r="G29" s="21"/>
      <c r="H29" s="20"/>
      <c r="I29" s="36"/>
      <c r="J29" s="307"/>
      <c r="K29" s="309"/>
      <c r="L29" s="247">
        <f t="shared" si="7"/>
        <v>0</v>
      </c>
      <c r="M29" s="12"/>
      <c r="N29" s="12"/>
      <c r="O29" s="12"/>
      <c r="P29" s="307">
        <f>28*1000</f>
        <v>28000</v>
      </c>
      <c r="Q29" s="505"/>
      <c r="R29" s="35" t="s">
        <v>651</v>
      </c>
      <c r="S29" s="269" t="str">
        <f t="shared" si="9"/>
        <v>Unfilled fields to left</v>
      </c>
      <c r="U29" s="21"/>
    </row>
    <row r="30" spans="2:26" s="14" customFormat="1">
      <c r="B30" s="190" t="s">
        <v>640</v>
      </c>
      <c r="C30" s="188" t="s">
        <v>824</v>
      </c>
      <c r="D30" s="183" t="s">
        <v>582</v>
      </c>
      <c r="E30" s="35"/>
      <c r="F30" s="34"/>
      <c r="G30" s="21"/>
      <c r="H30" s="20"/>
      <c r="I30" s="36"/>
      <c r="J30" s="307"/>
      <c r="K30" s="309"/>
      <c r="L30" s="247">
        <f t="shared" si="7"/>
        <v>0</v>
      </c>
      <c r="M30" s="12"/>
      <c r="N30" s="12"/>
      <c r="O30" s="12"/>
      <c r="P30" s="307">
        <v>265000</v>
      </c>
      <c r="Q30" s="505"/>
      <c r="R30" s="35" t="s">
        <v>651</v>
      </c>
      <c r="S30" s="269" t="str">
        <f t="shared" si="9"/>
        <v>Unfilled fields to left</v>
      </c>
      <c r="U30" s="21"/>
    </row>
    <row r="31" spans="2:26" s="14" customFormat="1">
      <c r="B31" s="16"/>
      <c r="C31" s="15"/>
      <c r="D31" s="183"/>
      <c r="E31" s="35"/>
      <c r="F31" s="21"/>
      <c r="G31" s="21"/>
      <c r="H31" s="20"/>
      <c r="I31" s="36"/>
      <c r="J31" s="307"/>
      <c r="K31" s="309"/>
      <c r="L31" s="247">
        <f t="shared" si="7"/>
        <v>0</v>
      </c>
      <c r="M31" s="12"/>
      <c r="N31" s="12"/>
      <c r="O31" s="12"/>
      <c r="P31" s="307"/>
      <c r="Q31" s="505"/>
      <c r="R31" s="309"/>
      <c r="S31" s="269" t="str">
        <f t="shared" si="9"/>
        <v>Unfilled fields to left</v>
      </c>
      <c r="U31" s="21"/>
    </row>
    <row r="32" spans="2:26" s="14" customFormat="1">
      <c r="B32" s="16"/>
      <c r="C32" s="15"/>
      <c r="D32" s="183"/>
      <c r="E32" s="35"/>
      <c r="F32" s="21"/>
      <c r="G32" s="21"/>
      <c r="H32" s="20"/>
      <c r="I32" s="36"/>
      <c r="J32" s="307"/>
      <c r="K32" s="309"/>
      <c r="L32" s="247">
        <f t="shared" si="7"/>
        <v>0</v>
      </c>
      <c r="M32" s="12"/>
      <c r="N32" s="12"/>
      <c r="O32" s="12"/>
      <c r="P32" s="307"/>
      <c r="Q32" s="505"/>
      <c r="R32" s="309"/>
      <c r="S32" s="269" t="str">
        <f t="shared" si="9"/>
        <v>Unfilled fields to left</v>
      </c>
      <c r="U32" s="21"/>
    </row>
    <row r="33" spans="2:22" s="19" customFormat="1">
      <c r="C33" s="17"/>
      <c r="D33" s="17"/>
      <c r="E33" s="144"/>
      <c r="F33" s="17"/>
      <c r="H33" s="18"/>
      <c r="I33" s="18"/>
      <c r="J33" s="40"/>
      <c r="K33" s="40"/>
      <c r="L33" s="40"/>
      <c r="P33" s="40"/>
      <c r="Q33" s="40"/>
      <c r="R33" s="40"/>
      <c r="S33" s="144"/>
    </row>
    <row r="34" spans="2:22" s="19" customFormat="1">
      <c r="B34" s="149" t="s">
        <v>661</v>
      </c>
      <c r="C34" s="149"/>
      <c r="D34" s="149"/>
      <c r="E34" s="308"/>
      <c r="F34" s="149"/>
      <c r="G34" s="149"/>
      <c r="H34" s="149"/>
      <c r="I34" s="149"/>
      <c r="J34" s="308"/>
      <c r="K34" s="308"/>
      <c r="L34" s="308"/>
      <c r="P34" s="40"/>
      <c r="Q34" s="562"/>
      <c r="R34" s="40"/>
      <c r="S34" s="144"/>
    </row>
    <row r="35" spans="2:22" s="19" customFormat="1">
      <c r="B35" s="190" t="s">
        <v>758</v>
      </c>
      <c r="C35" s="188" t="s">
        <v>691</v>
      </c>
      <c r="D35" s="183" t="s">
        <v>582</v>
      </c>
      <c r="E35" s="35" t="e">
        <f>E43/E42*E20</f>
        <v>#DIV/0!</v>
      </c>
      <c r="F35" s="24"/>
      <c r="G35" s="21"/>
      <c r="H35" s="20"/>
      <c r="I35" s="20"/>
      <c r="J35" s="307"/>
      <c r="K35" s="309"/>
      <c r="L35" s="247" t="e">
        <f>IF($D35="MWh/yr (LHV)",$E35,$J35*$E35/Conversion_kWh_to_MJ)</f>
        <v>#DIV/0!</v>
      </c>
      <c r="P35" s="307">
        <v>1000</v>
      </c>
      <c r="Q35" s="505"/>
      <c r="R35" s="35" t="s">
        <v>651</v>
      </c>
      <c r="S35" s="269" t="str">
        <f>IFERROR(IF(D35="tonnes/yr", $P35*$E35/($L$20*3.6), $Q35*$E35*3.6/($L$20*3.6)), "Unfilled fields to left")</f>
        <v>Unfilled fields to left</v>
      </c>
      <c r="U35" s="24"/>
    </row>
    <row r="36" spans="2:22" s="19" customFormat="1">
      <c r="B36" s="16"/>
      <c r="C36" s="15"/>
      <c r="D36" s="183"/>
      <c r="E36" s="35"/>
      <c r="F36" s="21"/>
      <c r="G36" s="21"/>
      <c r="H36" s="20"/>
      <c r="I36" s="36"/>
      <c r="J36" s="307"/>
      <c r="K36" s="309"/>
      <c r="L36" s="247">
        <f>IF($D36="MWh/yr (LHV)",$E36,$J36*$E36/Conversion_kWh_to_MJ)</f>
        <v>0</v>
      </c>
      <c r="P36" s="309"/>
      <c r="Q36" s="544"/>
      <c r="R36" s="309"/>
      <c r="S36" s="269" t="str">
        <f>IFERROR(IF(D36="tonnes/yr", $P36*$E36/($L$20*3.6), $Q36*$E36*3.6/($L$20*3.6)), "Unfilled fields to left")</f>
        <v>Unfilled fields to left</v>
      </c>
      <c r="U36" s="25"/>
    </row>
    <row r="37" spans="2:22" s="19" customFormat="1">
      <c r="C37" s="17"/>
      <c r="D37" s="17"/>
      <c r="E37" s="144"/>
      <c r="F37" s="17"/>
      <c r="H37" s="18"/>
      <c r="I37" s="18"/>
      <c r="J37" s="40"/>
      <c r="K37" s="40"/>
      <c r="L37" s="40"/>
      <c r="P37" s="40"/>
      <c r="Q37" s="40"/>
      <c r="R37" s="40"/>
      <c r="S37" s="144"/>
    </row>
    <row r="38" spans="2:22" s="19" customFormat="1">
      <c r="C38" s="17"/>
      <c r="D38" s="17"/>
      <c r="E38" s="144"/>
      <c r="F38" s="17"/>
      <c r="H38" s="18"/>
      <c r="I38" s="18"/>
      <c r="J38" s="40"/>
      <c r="K38" s="40"/>
      <c r="L38" s="40"/>
      <c r="P38" s="40"/>
      <c r="Q38" s="40"/>
      <c r="R38" s="40"/>
      <c r="S38" s="144"/>
    </row>
    <row r="39" spans="2:22" s="19" customFormat="1">
      <c r="D39" s="17"/>
      <c r="E39" s="144"/>
      <c r="H39" s="130"/>
      <c r="I39" s="130"/>
      <c r="J39" s="129"/>
      <c r="K39" s="129"/>
      <c r="L39" s="129"/>
      <c r="P39" s="129"/>
      <c r="Q39" s="129"/>
      <c r="R39" s="38" t="s">
        <v>641</v>
      </c>
      <c r="S39" s="175">
        <f>SUM(S7:S38)</f>
        <v>0</v>
      </c>
    </row>
    <row r="40" spans="2:22">
      <c r="B40" s="149" t="s">
        <v>94</v>
      </c>
      <c r="C40" s="163"/>
      <c r="D40" s="163"/>
      <c r="E40" s="527"/>
      <c r="I40" s="12"/>
      <c r="J40" s="110"/>
      <c r="K40" s="110"/>
      <c r="L40" s="110"/>
      <c r="M40" s="12"/>
      <c r="P40" s="110"/>
      <c r="Q40" s="110"/>
      <c r="R40" s="110"/>
      <c r="S40" s="110"/>
      <c r="V40" s="12"/>
    </row>
    <row r="41" spans="2:22">
      <c r="B41" s="16" t="s">
        <v>626</v>
      </c>
      <c r="C41" s="15" t="s">
        <v>627</v>
      </c>
      <c r="D41" s="15" t="s">
        <v>628</v>
      </c>
      <c r="E41" s="529"/>
      <c r="G41" s="19"/>
      <c r="H41" s="12"/>
      <c r="I41" s="12"/>
      <c r="J41" s="110"/>
      <c r="K41" s="110"/>
      <c r="L41" s="110"/>
      <c r="M41" s="12"/>
      <c r="P41" s="110"/>
      <c r="Q41" s="110"/>
      <c r="R41" s="110"/>
      <c r="S41" s="12"/>
      <c r="U41" s="25"/>
      <c r="V41" s="12"/>
    </row>
    <row r="42" spans="2:22">
      <c r="B42" s="16" t="s">
        <v>663</v>
      </c>
      <c r="C42" s="15" t="s">
        <v>663</v>
      </c>
      <c r="D42" s="15" t="s">
        <v>664</v>
      </c>
      <c r="E42" s="529"/>
      <c r="H42" s="12"/>
      <c r="I42" s="12"/>
      <c r="J42" s="110"/>
      <c r="K42" s="110"/>
      <c r="L42" s="110"/>
      <c r="M42" s="12"/>
      <c r="P42" s="110"/>
      <c r="Q42" s="110"/>
      <c r="R42" s="110"/>
      <c r="S42" s="12"/>
      <c r="U42" s="25"/>
      <c r="V42" s="12"/>
    </row>
    <row r="43" spans="2:22">
      <c r="B43" s="16" t="s">
        <v>662</v>
      </c>
      <c r="C43" s="15" t="s">
        <v>665</v>
      </c>
      <c r="D43" s="15" t="s">
        <v>666</v>
      </c>
      <c r="E43" s="529"/>
      <c r="J43" s="39"/>
      <c r="K43" s="39"/>
      <c r="P43" s="39"/>
      <c r="Q43" s="39"/>
      <c r="R43" s="39"/>
      <c r="S43" s="110"/>
      <c r="U43" s="25"/>
    </row>
    <row r="44" spans="2:22">
      <c r="B44" s="16"/>
      <c r="C44" s="15"/>
      <c r="D44" s="15"/>
      <c r="E44" s="529"/>
      <c r="J44" s="39"/>
      <c r="K44" s="39"/>
      <c r="P44" s="39"/>
      <c r="Q44" s="39"/>
      <c r="R44" s="39"/>
      <c r="S44" s="110"/>
      <c r="U44" s="25"/>
    </row>
    <row r="45" spans="2:22">
      <c r="E45" s="110"/>
      <c r="J45" s="39"/>
      <c r="K45" s="39"/>
      <c r="P45" s="39"/>
      <c r="Q45" s="39"/>
      <c r="R45" s="39"/>
      <c r="S45" s="110"/>
    </row>
    <row r="46" spans="2:22">
      <c r="E46" s="110"/>
      <c r="J46" s="39"/>
      <c r="K46" s="39"/>
      <c r="P46" s="39"/>
      <c r="Q46" s="39"/>
      <c r="R46" s="39"/>
      <c r="S46" s="110"/>
    </row>
    <row r="47" spans="2:22">
      <c r="E47" s="110"/>
      <c r="J47" s="39"/>
      <c r="K47" s="39"/>
      <c r="P47" s="39"/>
      <c r="Q47" s="39"/>
      <c r="R47" s="39"/>
      <c r="S47" s="110"/>
    </row>
    <row r="48" spans="2:22">
      <c r="E48" s="110"/>
      <c r="J48" s="39"/>
      <c r="K48" s="39"/>
      <c r="P48" s="39"/>
      <c r="Q48" s="39"/>
      <c r="R48" s="39"/>
      <c r="S48" s="110"/>
    </row>
    <row r="49" spans="5:19">
      <c r="E49" s="110"/>
      <c r="J49" s="39"/>
      <c r="K49" s="39"/>
      <c r="P49" s="39"/>
      <c r="Q49" s="39"/>
      <c r="R49" s="39"/>
      <c r="S49" s="110"/>
    </row>
    <row r="50" spans="5:19">
      <c r="E50" s="110"/>
      <c r="J50" s="39"/>
      <c r="K50" s="39"/>
      <c r="P50" s="39"/>
      <c r="Q50" s="39"/>
      <c r="R50" s="39"/>
      <c r="S50" s="110"/>
    </row>
    <row r="51" spans="5:19">
      <c r="E51" s="110"/>
      <c r="J51" s="39"/>
      <c r="K51" s="39"/>
      <c r="P51" s="39"/>
      <c r="Q51" s="39"/>
      <c r="R51" s="39"/>
      <c r="S51" s="110"/>
    </row>
    <row r="52" spans="5:19">
      <c r="E52" s="110"/>
      <c r="J52" s="39"/>
      <c r="K52" s="39"/>
      <c r="P52" s="39"/>
      <c r="Q52" s="39"/>
      <c r="R52" s="39"/>
      <c r="S52" s="110"/>
    </row>
    <row r="53" spans="5:19">
      <c r="E53" s="110"/>
      <c r="J53" s="39"/>
      <c r="K53" s="39"/>
      <c r="P53" s="39"/>
      <c r="Q53" s="39"/>
      <c r="R53" s="39"/>
      <c r="S53" s="110"/>
    </row>
    <row r="54" spans="5:19">
      <c r="E54" s="110"/>
      <c r="J54" s="39"/>
      <c r="K54" s="39"/>
      <c r="P54" s="39"/>
      <c r="Q54" s="39"/>
      <c r="R54" s="39"/>
      <c r="S54" s="110"/>
    </row>
    <row r="55" spans="5:19">
      <c r="E55" s="110"/>
      <c r="J55" s="39"/>
      <c r="K55" s="39"/>
      <c r="P55" s="39"/>
      <c r="Q55" s="39"/>
      <c r="R55" s="39"/>
      <c r="S55" s="110"/>
    </row>
    <row r="56" spans="5:19">
      <c r="E56" s="110"/>
      <c r="J56" s="39"/>
      <c r="K56" s="39"/>
      <c r="P56" s="39"/>
      <c r="Q56" s="39"/>
      <c r="R56" s="39"/>
      <c r="S56" s="110"/>
    </row>
    <row r="57" spans="5:19">
      <c r="E57" s="110"/>
      <c r="J57" s="39"/>
      <c r="K57" s="39"/>
      <c r="P57" s="39"/>
      <c r="Q57" s="39"/>
      <c r="R57" s="39"/>
      <c r="S57" s="110"/>
    </row>
    <row r="58" spans="5:19">
      <c r="E58" s="110"/>
      <c r="J58" s="39"/>
      <c r="K58" s="39"/>
      <c r="P58" s="39"/>
      <c r="Q58" s="39"/>
      <c r="R58" s="39"/>
      <c r="S58" s="110"/>
    </row>
    <row r="59" spans="5:19">
      <c r="E59" s="110"/>
      <c r="J59" s="39"/>
      <c r="K59" s="39"/>
      <c r="P59" s="39"/>
      <c r="Q59" s="39"/>
      <c r="R59" s="39"/>
      <c r="S59" s="110"/>
    </row>
    <row r="60" spans="5:19">
      <c r="E60" s="110"/>
      <c r="J60" s="39"/>
      <c r="K60" s="39"/>
      <c r="P60" s="39"/>
      <c r="Q60" s="39"/>
      <c r="R60" s="39"/>
      <c r="S60" s="110"/>
    </row>
    <row r="61" spans="5:19">
      <c r="E61" s="110"/>
      <c r="J61" s="39"/>
      <c r="K61" s="39"/>
      <c r="P61" s="39"/>
      <c r="Q61" s="39"/>
      <c r="R61" s="39"/>
      <c r="S61" s="110"/>
    </row>
    <row r="62" spans="5:19">
      <c r="E62" s="110"/>
      <c r="J62" s="39"/>
      <c r="K62" s="39"/>
      <c r="P62" s="39"/>
      <c r="Q62" s="39"/>
      <c r="R62" s="39"/>
      <c r="S62" s="110"/>
    </row>
    <row r="63" spans="5:19">
      <c r="E63" s="110"/>
      <c r="J63" s="39"/>
      <c r="K63" s="39"/>
      <c r="P63" s="39"/>
      <c r="Q63" s="39"/>
      <c r="R63" s="39"/>
      <c r="S63" s="110"/>
    </row>
    <row r="64" spans="5:19">
      <c r="E64" s="110"/>
      <c r="J64" s="39"/>
      <c r="K64" s="39"/>
      <c r="P64" s="39"/>
      <c r="Q64" s="39"/>
      <c r="R64" s="39"/>
      <c r="S64" s="110"/>
    </row>
    <row r="65" spans="5:19">
      <c r="E65" s="110"/>
      <c r="J65" s="39"/>
      <c r="K65" s="39"/>
      <c r="P65" s="39"/>
      <c r="Q65" s="39"/>
      <c r="R65" s="39"/>
      <c r="S65" s="110"/>
    </row>
    <row r="66" spans="5:19">
      <c r="E66" s="110"/>
      <c r="J66" s="39"/>
      <c r="K66" s="39"/>
      <c r="P66" s="39"/>
      <c r="Q66" s="39"/>
      <c r="R66" s="39"/>
      <c r="S66" s="110"/>
    </row>
    <row r="67" spans="5:19">
      <c r="E67" s="110"/>
      <c r="J67" s="39"/>
      <c r="K67" s="39"/>
      <c r="P67" s="39"/>
      <c r="Q67" s="39"/>
      <c r="R67" s="39"/>
      <c r="S67" s="110"/>
    </row>
    <row r="68" spans="5:19">
      <c r="E68" s="110"/>
      <c r="J68" s="39"/>
      <c r="K68" s="39"/>
      <c r="P68" s="39"/>
      <c r="Q68" s="39"/>
      <c r="R68" s="39"/>
      <c r="S68" s="110"/>
    </row>
    <row r="69" spans="5:19">
      <c r="E69" s="110"/>
      <c r="J69" s="39"/>
      <c r="K69" s="39"/>
      <c r="P69" s="39"/>
      <c r="Q69" s="39"/>
      <c r="R69" s="39"/>
      <c r="S69" s="110"/>
    </row>
    <row r="70" spans="5:19">
      <c r="E70" s="110"/>
      <c r="J70" s="39"/>
      <c r="K70" s="39"/>
      <c r="P70" s="39"/>
      <c r="Q70" s="39"/>
      <c r="R70" s="39"/>
      <c r="S70" s="110"/>
    </row>
    <row r="71" spans="5:19">
      <c r="E71" s="110"/>
      <c r="J71" s="39"/>
      <c r="K71" s="39"/>
      <c r="P71" s="39"/>
      <c r="Q71" s="39"/>
      <c r="R71" s="39"/>
      <c r="S71" s="110"/>
    </row>
    <row r="72" spans="5:19">
      <c r="E72" s="110"/>
      <c r="J72" s="39"/>
      <c r="K72" s="39"/>
      <c r="P72" s="39"/>
      <c r="Q72" s="39"/>
      <c r="R72" s="39"/>
      <c r="S72" s="110"/>
    </row>
    <row r="73" spans="5:19">
      <c r="E73" s="110"/>
      <c r="J73" s="39"/>
      <c r="K73" s="39"/>
      <c r="P73" s="39"/>
      <c r="Q73" s="39"/>
      <c r="R73" s="39"/>
      <c r="S73" s="110"/>
    </row>
    <row r="74" spans="5:19">
      <c r="E74" s="110"/>
      <c r="J74" s="39"/>
      <c r="K74" s="39"/>
      <c r="P74" s="39"/>
      <c r="Q74" s="39"/>
      <c r="R74" s="39"/>
      <c r="S74" s="110"/>
    </row>
    <row r="75" spans="5:19">
      <c r="E75" s="110"/>
      <c r="J75" s="39"/>
      <c r="K75" s="39"/>
      <c r="P75" s="39"/>
      <c r="Q75" s="39"/>
      <c r="R75" s="39"/>
      <c r="S75" s="110"/>
    </row>
    <row r="76" spans="5:19">
      <c r="E76" s="110"/>
      <c r="J76" s="39"/>
      <c r="K76" s="39"/>
      <c r="P76" s="39"/>
      <c r="Q76" s="39"/>
      <c r="R76" s="39"/>
    </row>
    <row r="77" spans="5:19">
      <c r="E77" s="110"/>
      <c r="J77" s="39"/>
      <c r="K77" s="39"/>
      <c r="P77" s="39"/>
      <c r="Q77" s="39"/>
      <c r="R77" s="39"/>
    </row>
    <row r="78" spans="5:19">
      <c r="E78" s="110"/>
      <c r="J78" s="39"/>
      <c r="K78" s="39"/>
      <c r="P78" s="39"/>
      <c r="Q78" s="39"/>
      <c r="R78" s="39"/>
    </row>
    <row r="79" spans="5:19">
      <c r="E79" s="110"/>
      <c r="J79" s="39"/>
      <c r="K79" s="39"/>
      <c r="P79" s="39"/>
      <c r="Q79" s="39"/>
      <c r="R79" s="39"/>
    </row>
    <row r="80" spans="5:19">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J122" s="39"/>
      <c r="K122" s="39"/>
      <c r="P122" s="39"/>
      <c r="Q122" s="39"/>
      <c r="R122" s="39"/>
    </row>
    <row r="123" spans="5:18">
      <c r="E123" s="110"/>
      <c r="J123" s="39"/>
      <c r="K123" s="39"/>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E147" s="110"/>
      <c r="P147" s="39"/>
      <c r="Q147" s="39"/>
      <c r="R147" s="39"/>
    </row>
    <row r="148" spans="5:18">
      <c r="E148" s="110"/>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row r="189" spans="16:18">
      <c r="P189" s="39"/>
      <c r="Q189" s="39"/>
      <c r="R189" s="39"/>
    </row>
    <row r="190" spans="16:18">
      <c r="P190" s="39"/>
      <c r="Q190" s="39"/>
      <c r="R190"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35:D36 D20:D32 D8:D17" xr:uid="{999D4BA4-8C50-44B4-A0BD-B65BE57788A9}">
      <formula1>Flow_units</formula1>
    </dataValidation>
    <dataValidation type="custom" allowBlank="1" showInputMessage="1" showErrorMessage="1" error="Please do not change this formula" prompt="Please do not change this formula" sqref="T4 S6:S1048576 L1:L1048576 M4 S1:S4 N1:O4 N6:O1048576 N5:S5" xr:uid="{1E8513FA-7631-458E-A3B8-AEA1F1A529B2}">
      <formula1>"Please do not change this formula"</formula1>
    </dataValidation>
  </dataValidations>
  <hyperlinks>
    <hyperlink ref="I2:J2" location="'Biomass Transport'!A1" display="Go to the next step of this pathway" xr:uid="{2E325BB5-3E8F-409E-86F2-11F69DB73529}"/>
    <hyperlink ref="I2:K2" location="Generic_Feedstock_Harvesting!A1" display="Go to the next step of this pathway" xr:uid="{CB142AA3-8C5C-4F03-8749-360DACEF0B71}"/>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23" id="{6ADE4C2B-A1D5-4CD4-846C-7F5CC811BB1E}">
            <xm:f>AND(Initial_questions!$E$21&lt;&gt;"Other",Master_Switch="On")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79" id="{1A3BCF23-379C-4467-8F17-DE19BE4B0A35}">
            <xm:f>AND(Initial_questions!$E$62&lt;&gt;"Cereals and other starch-rich crops", Initial_questions!$E$62&lt;&gt;"Sugar crops", Initial_questions!$E$62&lt;&gt;"Oil crops", Initial_questions!$E$62&lt;&gt;"Other crop",Master_Switch="On")</xm:f>
            <x14:dxf>
              <font>
                <color theme="0"/>
              </font>
              <fill>
                <patternFill>
                  <bgColor theme="0"/>
                </patternFill>
              </fill>
              <border>
                <left/>
                <right/>
                <top/>
                <bottom/>
              </border>
            </x14:dxf>
          </x14:cfRule>
          <xm:sqref>A4:XFD100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E214E-0BB3-42BC-9F57-F71A377426BB}">
  <sheetPr codeName="Sheet50">
    <tabColor theme="0" tint="-0.34998626667073579"/>
  </sheetPr>
  <dimension ref="A1:Z188"/>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IF(AND(Initial_questions!$E$21&lt;&gt;"Other",Master_Switch="On"),"User should not fill in this sheet, but switch to other non-blank GHG worksheets","")</f>
        <v>User should not fill in this sheet, but switch to other non-blank GHG worksheets</v>
      </c>
      <c r="E1" s="262"/>
    </row>
    <row r="2" spans="1:26" ht="20.399999999999999" customHeight="1">
      <c r="B2" s="83" t="str">
        <f>IF(AND(Initial_questions!$E$62&lt;&gt;"Cereals and other starch-rich crops", Initial_questions!$E$62&lt;&gt;"Sugar crops", Initial_questions!$E$62&lt;&gt;"Oil crops", Initial_questions!$E$62&lt;&gt;"Other crop",Master_Switch="On"),"Not a purpose-grown feedstock, move to the next step of the pathway","")</f>
        <v>Not a purpose-grown feedstock, move to the next step of the pathway</v>
      </c>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692</v>
      </c>
      <c r="D8" s="183" t="s">
        <v>582</v>
      </c>
      <c r="E8" s="35"/>
      <c r="F8" s="24"/>
      <c r="G8" s="21"/>
      <c r="H8" s="20"/>
      <c r="I8" s="20"/>
      <c r="J8" s="307"/>
      <c r="K8" s="309"/>
      <c r="L8" s="247">
        <f t="shared" ref="L8:L17" si="0">IF($D8="MWh/yr (LHV)",$E8,$J8*$E8/Conversion_kWh_to_MJ)</f>
        <v>0</v>
      </c>
      <c r="M8" s="12"/>
      <c r="P8" s="110"/>
      <c r="Q8" s="110"/>
      <c r="R8" s="110"/>
      <c r="S8" s="12"/>
      <c r="U8" s="24"/>
      <c r="V8" s="12"/>
    </row>
    <row r="9" spans="1:26">
      <c r="B9" s="190" t="s">
        <v>592</v>
      </c>
      <c r="C9" s="188" t="s">
        <v>646</v>
      </c>
      <c r="D9" s="183" t="s">
        <v>747</v>
      </c>
      <c r="E9" s="35"/>
      <c r="F9" s="24"/>
      <c r="G9" s="21"/>
      <c r="H9" s="20"/>
      <c r="I9" s="36"/>
      <c r="J9" s="307"/>
      <c r="K9" s="309"/>
      <c r="L9" s="247">
        <f t="shared" si="0"/>
        <v>0</v>
      </c>
      <c r="M9" s="12"/>
      <c r="P9" s="35" t="str">
        <f t="shared" ref="P9:P10" si="1">IF(B9="", "", IF(D9="MWh/yr (LHV)", "Use column to right", "Enter data here"))</f>
        <v>Use column to right</v>
      </c>
      <c r="Q9" s="35" t="e">
        <f>INDEX(Assumptions!$F$5:$AJ$5,1,MATCH(Initial_questions!$E$24,Assumptions!$F$4:$AJ$4,0))*1000/Conversion_kWh_to_MJ</f>
        <v>#N/A</v>
      </c>
      <c r="R9" s="35" t="s">
        <v>896</v>
      </c>
      <c r="S9" s="269" t="str">
        <f t="shared" ref="S9:S17" si="2">IFERROR(IF(D9="tonnes/yr", $P9*$E9/($L$20*3.6), $Q9*$E9*3.6/($L$20*3.6)), "Unfilled fields to left")</f>
        <v>Unfilled fields to left</v>
      </c>
      <c r="U9" s="25"/>
      <c r="V9" s="12"/>
    </row>
    <row r="10" spans="1:26">
      <c r="B10" s="190" t="s">
        <v>592</v>
      </c>
      <c r="C10" s="188"/>
      <c r="D10" s="183"/>
      <c r="E10" s="35"/>
      <c r="F10" s="24"/>
      <c r="G10" s="21"/>
      <c r="H10" s="20"/>
      <c r="I10" s="36"/>
      <c r="J10" s="307"/>
      <c r="K10" s="309"/>
      <c r="L10" s="247">
        <f t="shared" si="0"/>
        <v>0</v>
      </c>
      <c r="M10" s="12"/>
      <c r="P10" s="35" t="str">
        <f t="shared" si="1"/>
        <v>Enter data here</v>
      </c>
      <c r="Q10" s="35" t="str">
        <f t="shared" ref="Q10" si="3">IF(B10="", "", IF(D10="MWh/yr (LHV)", "Enter data here", "Use column to left"))</f>
        <v>Use column to left</v>
      </c>
      <c r="R10" s="35" t="s">
        <v>898</v>
      </c>
      <c r="S10" s="269" t="str">
        <f t="shared" si="2"/>
        <v>Unfilled fields to left</v>
      </c>
      <c r="U10" s="25"/>
      <c r="V10" s="12"/>
    </row>
    <row r="11" spans="1:26">
      <c r="B11" s="190" t="s">
        <v>599</v>
      </c>
      <c r="C11" s="188" t="s">
        <v>600</v>
      </c>
      <c r="D11" s="183" t="s">
        <v>582</v>
      </c>
      <c r="E11" s="35"/>
      <c r="F11" s="35"/>
      <c r="G11" s="21"/>
      <c r="H11" s="20"/>
      <c r="I11" s="36"/>
      <c r="J11" s="307"/>
      <c r="K11" s="309"/>
      <c r="L11" s="247">
        <f t="shared" si="0"/>
        <v>0</v>
      </c>
      <c r="M11" s="12"/>
      <c r="P11" s="35" t="str">
        <f t="shared" ref="P11:P17" si="4">IF(B11="", "", IF(D11="MWh/yr (LHV)", "Use column to right", "Enter data here"))</f>
        <v>Enter data here</v>
      </c>
      <c r="Q11" s="35" t="str">
        <f t="shared" ref="Q11:Q17" si="5">IF(B11="", "", IF(D11="MWh/yr (LHV)", "Enter data here", "Use column to left"))</f>
        <v>Use column to left</v>
      </c>
      <c r="R11" s="35" t="s">
        <v>898</v>
      </c>
      <c r="S11" s="269" t="str">
        <f t="shared" si="2"/>
        <v>Unfilled fields to left</v>
      </c>
      <c r="U11" s="25"/>
      <c r="V11" s="12"/>
    </row>
    <row r="12" spans="1:26">
      <c r="B12" s="190" t="s">
        <v>599</v>
      </c>
      <c r="C12" s="188" t="s">
        <v>601</v>
      </c>
      <c r="D12" s="183" t="s">
        <v>582</v>
      </c>
      <c r="E12" s="35"/>
      <c r="F12" s="21"/>
      <c r="G12" s="21"/>
      <c r="H12" s="20"/>
      <c r="I12" s="36"/>
      <c r="J12" s="307"/>
      <c r="K12" s="309"/>
      <c r="L12" s="247">
        <f t="shared" si="0"/>
        <v>0</v>
      </c>
      <c r="M12" s="12"/>
      <c r="P12" s="35" t="str">
        <f t="shared" si="4"/>
        <v>Enter data here</v>
      </c>
      <c r="Q12" s="35" t="str">
        <f t="shared" si="5"/>
        <v>Use column to left</v>
      </c>
      <c r="R12" s="35" t="s">
        <v>898</v>
      </c>
      <c r="S12" s="269" t="str">
        <f t="shared" si="2"/>
        <v>Unfilled fields to left</v>
      </c>
      <c r="U12" s="25"/>
      <c r="V12" s="12"/>
    </row>
    <row r="13" spans="1:26">
      <c r="B13" s="190" t="s">
        <v>605</v>
      </c>
      <c r="C13" s="188" t="s">
        <v>585</v>
      </c>
      <c r="D13" s="183" t="s">
        <v>582</v>
      </c>
      <c r="E13" s="35"/>
      <c r="F13" s="21"/>
      <c r="G13" s="21"/>
      <c r="H13" s="20"/>
      <c r="I13" s="36"/>
      <c r="J13" s="307"/>
      <c r="K13" s="309"/>
      <c r="L13" s="247">
        <f t="shared" si="0"/>
        <v>0</v>
      </c>
      <c r="M13" s="12"/>
      <c r="P13" s="35" t="str">
        <f t="shared" si="4"/>
        <v>Enter data here</v>
      </c>
      <c r="Q13" s="35" t="str">
        <f t="shared" si="5"/>
        <v>Use column to left</v>
      </c>
      <c r="R13" s="35" t="s">
        <v>898</v>
      </c>
      <c r="S13" s="269" t="str">
        <f t="shared" si="2"/>
        <v>Unfilled fields to left</v>
      </c>
      <c r="U13" s="25"/>
      <c r="V13" s="12"/>
    </row>
    <row r="14" spans="1:26">
      <c r="B14" s="190" t="s">
        <v>605</v>
      </c>
      <c r="C14" s="188" t="s">
        <v>635</v>
      </c>
      <c r="D14" s="183" t="s">
        <v>582</v>
      </c>
      <c r="E14" s="35"/>
      <c r="F14" s="21"/>
      <c r="G14" s="21"/>
      <c r="H14" s="20"/>
      <c r="I14" s="36"/>
      <c r="J14" s="307"/>
      <c r="K14" s="309"/>
      <c r="L14" s="247">
        <f t="shared" si="0"/>
        <v>0</v>
      </c>
      <c r="M14" s="12"/>
      <c r="P14" s="35" t="str">
        <f t="shared" si="4"/>
        <v>Enter data here</v>
      </c>
      <c r="Q14" s="35" t="str">
        <f t="shared" si="5"/>
        <v>Use column to left</v>
      </c>
      <c r="R14" s="35" t="s">
        <v>898</v>
      </c>
      <c r="S14" s="269" t="str">
        <f t="shared" si="2"/>
        <v>Unfilled fields to left</v>
      </c>
      <c r="U14" s="25"/>
      <c r="V14" s="12"/>
    </row>
    <row r="15" spans="1:26">
      <c r="B15" s="190" t="s">
        <v>657</v>
      </c>
      <c r="C15" s="188" t="s">
        <v>609</v>
      </c>
      <c r="D15" s="183" t="s">
        <v>582</v>
      </c>
      <c r="E15" s="35"/>
      <c r="F15" s="21"/>
      <c r="G15" s="21"/>
      <c r="H15" s="20"/>
      <c r="I15" s="36"/>
      <c r="J15" s="307"/>
      <c r="K15" s="309"/>
      <c r="L15" s="247">
        <f t="shared" si="0"/>
        <v>0</v>
      </c>
      <c r="M15" s="12"/>
      <c r="P15" s="35" t="str">
        <f t="shared" si="4"/>
        <v>Enter data here</v>
      </c>
      <c r="Q15" s="35" t="str">
        <f t="shared" si="5"/>
        <v>Use column to left</v>
      </c>
      <c r="R15" s="35" t="s">
        <v>898</v>
      </c>
      <c r="S15" s="269" t="str">
        <f t="shared" si="2"/>
        <v>Unfilled fields to left</v>
      </c>
      <c r="U15" s="25"/>
      <c r="V15" s="12"/>
    </row>
    <row r="16" spans="1:26">
      <c r="B16" s="190" t="s">
        <v>657</v>
      </c>
      <c r="C16" s="188" t="s">
        <v>677</v>
      </c>
      <c r="D16" s="183" t="s">
        <v>582</v>
      </c>
      <c r="E16" s="35"/>
      <c r="F16" s="21"/>
      <c r="G16" s="21"/>
      <c r="H16" s="20"/>
      <c r="I16" s="36"/>
      <c r="J16" s="307"/>
      <c r="K16" s="309"/>
      <c r="L16" s="247">
        <f t="shared" si="0"/>
        <v>0</v>
      </c>
      <c r="M16" s="12"/>
      <c r="P16" s="35" t="str">
        <f t="shared" si="4"/>
        <v>Enter data here</v>
      </c>
      <c r="Q16" s="35" t="str">
        <f t="shared" si="5"/>
        <v>Use column to left</v>
      </c>
      <c r="R16" s="35" t="s">
        <v>898</v>
      </c>
      <c r="S16" s="269" t="str">
        <f t="shared" si="2"/>
        <v>Unfilled fields to left</v>
      </c>
      <c r="U16" s="25"/>
      <c r="V16" s="12"/>
    </row>
    <row r="17" spans="2:26">
      <c r="B17" s="16"/>
      <c r="C17" s="15"/>
      <c r="D17" s="183"/>
      <c r="E17" s="35"/>
      <c r="F17" s="21"/>
      <c r="G17" s="21"/>
      <c r="H17" s="20"/>
      <c r="I17" s="36"/>
      <c r="J17" s="307"/>
      <c r="K17" s="309"/>
      <c r="L17" s="247">
        <f t="shared" si="0"/>
        <v>0</v>
      </c>
      <c r="M17" s="12"/>
      <c r="P17" s="35" t="str">
        <f t="shared" si="4"/>
        <v/>
      </c>
      <c r="Q17" s="35" t="str">
        <f t="shared" si="5"/>
        <v/>
      </c>
      <c r="R17" s="35"/>
      <c r="S17" s="269" t="str">
        <f t="shared" si="2"/>
        <v>Unfilled fields to left</v>
      </c>
      <c r="U17" s="25"/>
      <c r="V17" s="12"/>
    </row>
    <row r="18" spans="2:26">
      <c r="C18" s="17"/>
      <c r="D18" s="17"/>
      <c r="E18" s="534"/>
      <c r="F18" s="26"/>
      <c r="G18" s="27"/>
      <c r="H18" s="22"/>
      <c r="I18" s="22"/>
      <c r="J18" s="41"/>
      <c r="K18" s="41"/>
      <c r="L18" s="41"/>
      <c r="P18" s="41"/>
      <c r="Q18" s="41"/>
      <c r="R18" s="41"/>
      <c r="S18" s="143"/>
      <c r="U18" s="27"/>
      <c r="V18" s="12"/>
    </row>
    <row r="19" spans="2:26">
      <c r="B19" s="149" t="s">
        <v>637</v>
      </c>
      <c r="C19" s="149"/>
      <c r="D19" s="149"/>
      <c r="E19" s="308"/>
      <c r="F19" s="149"/>
      <c r="G19" s="149"/>
      <c r="H19" s="149"/>
      <c r="I19" s="149"/>
      <c r="J19" s="308"/>
      <c r="K19" s="308"/>
      <c r="L19" s="308"/>
      <c r="N19"/>
      <c r="O19"/>
      <c r="P19" s="40"/>
      <c r="Q19" s="40"/>
      <c r="R19" s="40"/>
      <c r="S19" s="144"/>
      <c r="T19" s="19"/>
      <c r="U19" s="19"/>
      <c r="V19" s="19"/>
      <c r="W19" s="19"/>
      <c r="X19" s="19"/>
      <c r="Y19" s="19"/>
      <c r="Z19" s="19"/>
    </row>
    <row r="20" spans="2:26">
      <c r="B20" s="16" t="s">
        <v>638</v>
      </c>
      <c r="C20" s="188" t="s">
        <v>692</v>
      </c>
      <c r="D20" s="183" t="s">
        <v>582</v>
      </c>
      <c r="E20" s="35"/>
      <c r="F20" s="21"/>
      <c r="G20" s="21"/>
      <c r="H20" s="21"/>
      <c r="I20" s="21"/>
      <c r="J20" s="307"/>
      <c r="K20" s="313"/>
      <c r="L20" s="247">
        <f t="shared" ref="L20:L31" si="6">IF($D20="MWh/yr (LHV)",$E20,$J20*$E20/Conversion_kWh_to_MJ)</f>
        <v>0</v>
      </c>
      <c r="N20" s="251" t="str">
        <f>IFERROR(L20/L8,"")</f>
        <v/>
      </c>
      <c r="O20" s="250" t="str">
        <f>IFERROR(L20/(SUM($L$20:$L$22)),"")</f>
        <v/>
      </c>
      <c r="P20" s="42"/>
      <c r="Q20" s="42"/>
      <c r="R20" s="42"/>
      <c r="S20" s="145"/>
      <c r="U20" s="21"/>
      <c r="V20" s="12"/>
    </row>
    <row r="21" spans="2:26" s="14" customFormat="1">
      <c r="B21" s="190" t="s">
        <v>583</v>
      </c>
      <c r="C21" s="188" t="s">
        <v>804</v>
      </c>
      <c r="D21" s="183" t="s">
        <v>582</v>
      </c>
      <c r="E21" s="35"/>
      <c r="F21" s="21"/>
      <c r="G21" s="21"/>
      <c r="H21" s="20"/>
      <c r="I21" s="33"/>
      <c r="J21" s="307"/>
      <c r="K21" s="309"/>
      <c r="L21" s="247">
        <f t="shared" si="6"/>
        <v>0</v>
      </c>
      <c r="M21" s="12"/>
      <c r="N21" s="12"/>
      <c r="O21" s="250" t="str">
        <f t="shared" ref="O21:O22" si="7">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6"/>
        <v>0</v>
      </c>
      <c r="M22" s="12"/>
      <c r="N22" s="12"/>
      <c r="O22" s="250" t="str">
        <f t="shared" si="7"/>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6"/>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6"/>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6"/>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6"/>
        <v>0</v>
      </c>
      <c r="M26" s="12"/>
      <c r="N26" s="12"/>
      <c r="O26" s="12"/>
      <c r="P26" s="110"/>
      <c r="Q26" s="110"/>
      <c r="R26" s="110"/>
      <c r="S26" s="12"/>
      <c r="U26" s="21"/>
    </row>
    <row r="27" spans="2:26" s="14" customFormat="1">
      <c r="B27" s="190" t="s">
        <v>611</v>
      </c>
      <c r="C27" s="188" t="s">
        <v>820</v>
      </c>
      <c r="D27" s="183" t="s">
        <v>582</v>
      </c>
      <c r="E27" s="35"/>
      <c r="F27" s="34"/>
      <c r="G27" s="21"/>
      <c r="H27" s="20"/>
      <c r="I27" s="36"/>
      <c r="J27" s="307"/>
      <c r="K27" s="309"/>
      <c r="L27" s="247">
        <f t="shared" si="6"/>
        <v>0</v>
      </c>
      <c r="M27" s="12"/>
      <c r="N27" s="12"/>
      <c r="O27" s="12"/>
      <c r="P27" s="35">
        <v>1000</v>
      </c>
      <c r="Q27" s="546"/>
      <c r="R27" s="35" t="s">
        <v>821</v>
      </c>
      <c r="S27" s="269"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6"/>
        <v>0</v>
      </c>
      <c r="M28" s="12"/>
      <c r="N28" s="12"/>
      <c r="O28" s="12"/>
      <c r="P28" s="35">
        <v>28000</v>
      </c>
      <c r="Q28" s="546"/>
      <c r="R28" s="35" t="s">
        <v>651</v>
      </c>
      <c r="S28" s="269" t="str">
        <f>IFERROR(IF(D28="tonnes/yr", $P28*$E28/($L$20*3.6), $Q28*$E28*3.6/($L$20*3.6)), "Unfilled fields to left")</f>
        <v>Unfilled fields to left</v>
      </c>
      <c r="U28" s="21"/>
    </row>
    <row r="29" spans="2:26" s="14" customFormat="1">
      <c r="B29" s="190" t="s">
        <v>640</v>
      </c>
      <c r="C29" s="188" t="s">
        <v>824</v>
      </c>
      <c r="D29" s="183" t="s">
        <v>582</v>
      </c>
      <c r="E29" s="35"/>
      <c r="F29" s="24"/>
      <c r="G29" s="21"/>
      <c r="H29" s="20"/>
      <c r="I29" s="36"/>
      <c r="J29" s="307"/>
      <c r="K29" s="309"/>
      <c r="L29" s="247">
        <f t="shared" si="6"/>
        <v>0</v>
      </c>
      <c r="M29" s="12"/>
      <c r="N29" s="12"/>
      <c r="O29" s="12"/>
      <c r="P29" s="35">
        <v>265000</v>
      </c>
      <c r="Q29" s="546"/>
      <c r="R29" s="35" t="s">
        <v>651</v>
      </c>
      <c r="S29" s="269"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6"/>
        <v>0</v>
      </c>
      <c r="M30" s="12"/>
      <c r="N30" s="12"/>
      <c r="O30" s="12"/>
      <c r="P30" s="307"/>
      <c r="Q30" s="505"/>
      <c r="R30" s="309"/>
      <c r="S30" s="269" t="str">
        <f>IFERROR(IF(D30="tonnes/yr", $P30*$E30/($L$20*3.6), $Q30*$E30*3.6/($L$20*3.6)), "Unfilled fields to left")</f>
        <v>Unfilled fields to left</v>
      </c>
      <c r="U30" s="21"/>
    </row>
    <row r="31" spans="2:26" s="14" customFormat="1">
      <c r="B31" s="16"/>
      <c r="C31" s="15"/>
      <c r="D31" s="183"/>
      <c r="E31" s="35"/>
      <c r="F31" s="21"/>
      <c r="G31" s="21"/>
      <c r="H31" s="20"/>
      <c r="I31" s="36"/>
      <c r="J31" s="307"/>
      <c r="K31" s="309"/>
      <c r="L31" s="247">
        <f t="shared" si="6"/>
        <v>0</v>
      </c>
      <c r="M31" s="12"/>
      <c r="N31" s="12"/>
      <c r="O31" s="12"/>
      <c r="P31" s="307"/>
      <c r="Q31" s="505"/>
      <c r="R31" s="309"/>
      <c r="S31" s="269"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144"/>
      <c r="V32" s="12"/>
    </row>
    <row r="33" spans="2:22">
      <c r="D33" s="17"/>
      <c r="E33" s="144"/>
      <c r="J33" s="39"/>
      <c r="K33" s="39"/>
      <c r="M33" s="12"/>
      <c r="P33" s="39"/>
      <c r="Q33" s="39"/>
      <c r="R33" s="38" t="s">
        <v>641</v>
      </c>
      <c r="S33" s="175">
        <f>SUM(S7:S32)</f>
        <v>0</v>
      </c>
      <c r="V33" s="12"/>
    </row>
    <row r="34" spans="2:22">
      <c r="B34" s="149" t="s">
        <v>94</v>
      </c>
      <c r="C34" s="163"/>
      <c r="D34" s="163"/>
      <c r="E34" s="527"/>
      <c r="I34" s="12"/>
      <c r="J34" s="110"/>
      <c r="K34" s="110"/>
      <c r="L34" s="110"/>
      <c r="M34" s="12"/>
      <c r="P34" s="110"/>
      <c r="Q34" s="110"/>
      <c r="R34" s="110"/>
      <c r="S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c r="C36" s="15"/>
      <c r="D36" s="15"/>
      <c r="E36" s="535"/>
      <c r="H36" s="12"/>
      <c r="I36" s="12"/>
      <c r="J36" s="110"/>
      <c r="K36" s="110"/>
      <c r="L36" s="110"/>
      <c r="M36" s="12"/>
      <c r="P36" s="110"/>
      <c r="Q36" s="110"/>
      <c r="R36" s="110"/>
      <c r="S36" s="12"/>
      <c r="U36" s="25"/>
      <c r="V36" s="12"/>
    </row>
    <row r="37" spans="2:22">
      <c r="B37" s="16"/>
      <c r="C37" s="15"/>
      <c r="D37" s="15"/>
      <c r="E37" s="535"/>
      <c r="J37" s="39"/>
      <c r="K37" s="39"/>
      <c r="P37" s="39"/>
      <c r="Q37" s="39"/>
      <c r="R37" s="39"/>
      <c r="S37" s="110"/>
      <c r="U37" s="25"/>
    </row>
    <row r="38" spans="2:22">
      <c r="B38" s="16"/>
      <c r="C38" s="15"/>
      <c r="D38" s="15"/>
      <c r="E38" s="535"/>
      <c r="J38" s="39"/>
      <c r="K38" s="39"/>
      <c r="P38" s="39"/>
      <c r="Q38" s="39"/>
      <c r="R38" s="39"/>
      <c r="S38" s="110"/>
      <c r="U38" s="25"/>
    </row>
    <row r="39" spans="2:22">
      <c r="E39" s="110"/>
      <c r="J39" s="39"/>
      <c r="K39" s="39"/>
      <c r="P39" s="39"/>
      <c r="Q39" s="39"/>
      <c r="R39" s="39"/>
      <c r="S39" s="110"/>
    </row>
    <row r="40" spans="2:22">
      <c r="E40" s="110"/>
      <c r="J40" s="39"/>
      <c r="K40" s="39"/>
      <c r="P40" s="39"/>
      <c r="Q40" s="39"/>
      <c r="R40" s="39"/>
      <c r="S40" s="110"/>
    </row>
    <row r="41" spans="2:22">
      <c r="E41" s="110"/>
      <c r="J41" s="39"/>
      <c r="K41" s="39"/>
      <c r="P41" s="39"/>
      <c r="Q41" s="39"/>
      <c r="R41" s="39"/>
      <c r="S41" s="110"/>
    </row>
    <row r="42" spans="2:22">
      <c r="E42" s="110"/>
      <c r="J42" s="39"/>
      <c r="K42" s="39"/>
      <c r="P42" s="39"/>
      <c r="Q42" s="39"/>
      <c r="R42" s="39"/>
      <c r="S42" s="110"/>
    </row>
    <row r="43" spans="2:22">
      <c r="E43" s="110"/>
      <c r="J43" s="39"/>
      <c r="K43" s="39"/>
      <c r="P43" s="39"/>
      <c r="Q43" s="39"/>
      <c r="R43" s="39"/>
      <c r="S43" s="110"/>
    </row>
    <row r="44" spans="2:22">
      <c r="E44" s="110"/>
      <c r="J44" s="39"/>
      <c r="K44" s="39"/>
      <c r="P44" s="39"/>
      <c r="Q44" s="39"/>
      <c r="R44" s="39"/>
      <c r="S44" s="110"/>
    </row>
    <row r="45" spans="2:22">
      <c r="E45" s="110"/>
      <c r="J45" s="39"/>
      <c r="K45" s="39"/>
      <c r="P45" s="39"/>
      <c r="Q45" s="39"/>
      <c r="R45" s="39"/>
      <c r="S45" s="110"/>
    </row>
    <row r="46" spans="2:22">
      <c r="E46" s="110"/>
      <c r="J46" s="39"/>
      <c r="K46" s="39"/>
      <c r="P46" s="39"/>
      <c r="Q46" s="39"/>
      <c r="R46" s="39"/>
      <c r="S46" s="110"/>
    </row>
    <row r="47" spans="2:22">
      <c r="E47" s="110"/>
      <c r="J47" s="39"/>
      <c r="K47" s="39"/>
      <c r="P47" s="39"/>
      <c r="Q47" s="39"/>
      <c r="R47" s="39"/>
      <c r="S47" s="110"/>
    </row>
    <row r="48" spans="2:22">
      <c r="E48" s="110"/>
      <c r="J48" s="39"/>
      <c r="K48" s="39"/>
      <c r="P48" s="39"/>
      <c r="Q48" s="39"/>
      <c r="R48" s="39"/>
      <c r="S48" s="110"/>
    </row>
    <row r="49" spans="5:19">
      <c r="E49" s="110"/>
      <c r="J49" s="39"/>
      <c r="K49" s="39"/>
      <c r="P49" s="39"/>
      <c r="Q49" s="39"/>
      <c r="R49" s="39"/>
      <c r="S49" s="110"/>
    </row>
    <row r="50" spans="5:19">
      <c r="E50" s="110"/>
      <c r="J50" s="39"/>
      <c r="K50" s="39"/>
      <c r="P50" s="39"/>
      <c r="Q50" s="39"/>
      <c r="R50" s="39"/>
      <c r="S50" s="110"/>
    </row>
    <row r="51" spans="5:19">
      <c r="E51" s="110"/>
      <c r="J51" s="39"/>
      <c r="K51" s="39"/>
      <c r="P51" s="39"/>
      <c r="Q51" s="39"/>
      <c r="R51" s="39"/>
      <c r="S51" s="110"/>
    </row>
    <row r="52" spans="5:19">
      <c r="E52" s="110"/>
      <c r="J52" s="39"/>
      <c r="K52" s="39"/>
      <c r="P52" s="39"/>
      <c r="Q52" s="39"/>
      <c r="R52" s="39"/>
      <c r="S52" s="110"/>
    </row>
    <row r="53" spans="5:19">
      <c r="E53" s="110"/>
      <c r="J53" s="39"/>
      <c r="K53" s="39"/>
      <c r="P53" s="39"/>
      <c r="Q53" s="39"/>
      <c r="R53" s="39"/>
      <c r="S53" s="110"/>
    </row>
    <row r="54" spans="5:19">
      <c r="E54" s="110"/>
      <c r="J54" s="39"/>
      <c r="K54" s="39"/>
      <c r="P54" s="39"/>
      <c r="Q54" s="39"/>
      <c r="R54" s="39"/>
      <c r="S54" s="110"/>
    </row>
    <row r="55" spans="5:19">
      <c r="E55" s="110"/>
      <c r="J55" s="39"/>
      <c r="K55" s="39"/>
      <c r="P55" s="39"/>
      <c r="Q55" s="39"/>
      <c r="R55" s="39"/>
      <c r="S55" s="110"/>
    </row>
    <row r="56" spans="5:19">
      <c r="E56" s="110"/>
      <c r="J56" s="39"/>
      <c r="K56" s="39"/>
      <c r="P56" s="39"/>
      <c r="Q56" s="39"/>
      <c r="R56" s="39"/>
      <c r="S56" s="110"/>
    </row>
    <row r="57" spans="5:19">
      <c r="E57" s="110"/>
      <c r="J57" s="39"/>
      <c r="K57" s="39"/>
      <c r="P57" s="39"/>
      <c r="Q57" s="39"/>
      <c r="R57" s="39"/>
      <c r="S57" s="110"/>
    </row>
    <row r="58" spans="5:19">
      <c r="E58" s="110"/>
      <c r="J58" s="39"/>
      <c r="K58" s="39"/>
      <c r="P58" s="39"/>
      <c r="Q58" s="39"/>
      <c r="R58" s="39"/>
      <c r="S58" s="110"/>
    </row>
    <row r="59" spans="5:19">
      <c r="E59" s="110"/>
      <c r="J59" s="39"/>
      <c r="K59" s="39"/>
      <c r="P59" s="39"/>
      <c r="Q59" s="39"/>
      <c r="R59" s="39"/>
      <c r="S59" s="110"/>
    </row>
    <row r="60" spans="5:19">
      <c r="E60" s="110"/>
      <c r="J60" s="39"/>
      <c r="K60" s="39"/>
      <c r="P60" s="39"/>
      <c r="Q60" s="39"/>
      <c r="R60" s="39"/>
      <c r="S60" s="110"/>
    </row>
    <row r="61" spans="5:19">
      <c r="E61" s="110"/>
      <c r="J61" s="39"/>
      <c r="K61" s="39"/>
      <c r="P61" s="39"/>
      <c r="Q61" s="39"/>
      <c r="R61" s="39"/>
      <c r="S61" s="110"/>
    </row>
    <row r="62" spans="5:19">
      <c r="E62" s="110"/>
      <c r="J62" s="39"/>
      <c r="K62" s="39"/>
      <c r="P62" s="39"/>
      <c r="Q62" s="39"/>
      <c r="R62" s="39"/>
      <c r="S62" s="110"/>
    </row>
    <row r="63" spans="5:19">
      <c r="E63" s="110"/>
      <c r="J63" s="39"/>
      <c r="K63" s="39"/>
      <c r="P63" s="39"/>
      <c r="Q63" s="39"/>
      <c r="R63" s="39"/>
      <c r="S63" s="110"/>
    </row>
    <row r="64" spans="5:19">
      <c r="E64" s="110"/>
      <c r="J64" s="39"/>
      <c r="K64" s="39"/>
      <c r="P64" s="39"/>
      <c r="Q64" s="39"/>
      <c r="R64" s="39"/>
      <c r="S64" s="110"/>
    </row>
    <row r="65" spans="5:19">
      <c r="E65" s="110"/>
      <c r="J65" s="39"/>
      <c r="K65" s="39"/>
      <c r="P65" s="39"/>
      <c r="Q65" s="39"/>
      <c r="R65" s="39"/>
      <c r="S65" s="110"/>
    </row>
    <row r="66" spans="5:19">
      <c r="E66" s="110"/>
      <c r="J66" s="39"/>
      <c r="K66" s="39"/>
      <c r="P66" s="39"/>
      <c r="Q66" s="39"/>
      <c r="R66" s="39"/>
      <c r="S66" s="110"/>
    </row>
    <row r="67" spans="5:19">
      <c r="E67" s="110"/>
      <c r="J67" s="39"/>
      <c r="K67" s="39"/>
      <c r="P67" s="39"/>
      <c r="Q67" s="39"/>
      <c r="R67" s="39"/>
      <c r="S67" s="110"/>
    </row>
    <row r="68" spans="5:19">
      <c r="E68" s="110"/>
      <c r="J68" s="39"/>
      <c r="K68" s="39"/>
      <c r="P68" s="39"/>
      <c r="Q68" s="39"/>
      <c r="R68" s="39"/>
      <c r="S68" s="110"/>
    </row>
    <row r="69" spans="5:19">
      <c r="E69" s="110"/>
      <c r="J69" s="39"/>
      <c r="K69" s="39"/>
      <c r="P69" s="39"/>
      <c r="Q69" s="39"/>
      <c r="R69" s="39"/>
      <c r="S69" s="110"/>
    </row>
    <row r="70" spans="5:19">
      <c r="E70" s="110"/>
      <c r="J70" s="39"/>
      <c r="K70" s="39"/>
      <c r="P70" s="39"/>
      <c r="Q70" s="39"/>
      <c r="R70" s="39"/>
      <c r="S70" s="110"/>
    </row>
    <row r="71" spans="5:19">
      <c r="E71" s="110"/>
      <c r="J71" s="39"/>
      <c r="K71" s="39"/>
      <c r="P71" s="39"/>
      <c r="Q71" s="39"/>
      <c r="R71" s="39"/>
      <c r="S71" s="110"/>
    </row>
    <row r="72" spans="5:19">
      <c r="E72" s="110"/>
      <c r="J72" s="39"/>
      <c r="K72" s="39"/>
      <c r="P72" s="39"/>
      <c r="Q72" s="39"/>
      <c r="R72" s="39"/>
      <c r="S72" s="110"/>
    </row>
    <row r="73" spans="5:19">
      <c r="E73" s="110"/>
      <c r="J73" s="39"/>
      <c r="K73" s="39"/>
      <c r="P73" s="39"/>
      <c r="Q73" s="39"/>
      <c r="R73" s="39"/>
      <c r="S73" s="110"/>
    </row>
    <row r="74" spans="5:19">
      <c r="E74" s="110"/>
      <c r="J74" s="39"/>
      <c r="K74" s="39"/>
      <c r="P74" s="39"/>
      <c r="Q74" s="39"/>
      <c r="R74" s="39"/>
    </row>
    <row r="75" spans="5:19">
      <c r="E75" s="110"/>
      <c r="J75" s="39"/>
      <c r="K75" s="39"/>
      <c r="P75" s="39"/>
      <c r="Q75" s="39"/>
      <c r="R75" s="39"/>
    </row>
    <row r="76" spans="5:19">
      <c r="E76" s="110"/>
      <c r="J76" s="39"/>
      <c r="K76" s="39"/>
      <c r="P76" s="39"/>
      <c r="Q76" s="39"/>
      <c r="R76" s="39"/>
    </row>
    <row r="77" spans="5:19">
      <c r="E77" s="110"/>
      <c r="J77" s="39"/>
      <c r="K77" s="39"/>
      <c r="P77" s="39"/>
      <c r="Q77" s="39"/>
      <c r="R77" s="39"/>
    </row>
    <row r="78" spans="5:19">
      <c r="E78" s="110"/>
      <c r="J78" s="39"/>
      <c r="K78" s="39"/>
      <c r="P78" s="39"/>
      <c r="Q78" s="39"/>
      <c r="R78" s="39"/>
    </row>
    <row r="79" spans="5:19">
      <c r="E79" s="110"/>
      <c r="J79" s="39"/>
      <c r="K79" s="39"/>
      <c r="P79" s="39"/>
      <c r="Q79" s="39"/>
      <c r="R79" s="39"/>
    </row>
    <row r="80" spans="5:19">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1" xr:uid="{6B39C927-85DF-40B9-BB81-E1D1FDF6ADC6}">
      <formula1>Flow_units</formula1>
    </dataValidation>
    <dataValidation type="custom" allowBlank="1" showInputMessage="1" showErrorMessage="1" error="Please do not change this formula" prompt="Please do not change this formula" sqref="L1:L1048576 S6:S1048576 T4 M4 S1:S4 N1:O4 N6:O1048576 N5:S5" xr:uid="{73233936-FFDC-4F42-8947-4BD322218898}">
      <formula1>"Please do not change this formula"</formula1>
    </dataValidation>
  </dataValidations>
  <hyperlinks>
    <hyperlink ref="I2:J2" location="'Generic Feedstock Collection'!A1" display="Go to the next step of this pathway" xr:uid="{8C52EB09-9B23-4895-814F-A5F806D93920}"/>
    <hyperlink ref="I2:K2" location="Generic_Feedstock_Collection!A1" display="Go to the next step of this pathway" xr:uid="{DDB9A81F-F24C-47B5-8C38-DB42AAF97A46}"/>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1" id="{42BB0181-0BF7-4126-9AE0-FCD76BA015CF}">
            <xm:f>AND(Initial_questions!$E$21&lt;&gt;"Other",Master_Switch="On")</xm:f>
            <x14:dxf>
              <font>
                <color theme="0"/>
              </font>
              <fill>
                <patternFill>
                  <bgColor theme="0"/>
                </patternFill>
              </fill>
              <border>
                <left/>
                <right/>
                <top/>
                <bottom/>
                <vertical/>
                <horizontal/>
              </border>
            </x14:dxf>
          </x14:cfRule>
          <xm:sqref>A2:XFD100</xm:sqref>
        </x14:conditionalFormatting>
        <x14:conditionalFormatting xmlns:xm="http://schemas.microsoft.com/office/excel/2006/main">
          <x14:cfRule type="expression" priority="72" id="{DFD977FE-CD54-40EA-8B26-C0399F4F3041}">
            <xm:f>AND(Initial_questions!$E$62&lt;&gt;"Cereals and other starch-rich crops", Initial_questions!$E$62&lt;&gt;"Sugar crops", Initial_questions!$E$62&lt;&gt;"Oil crops", Initial_questions!$E$62&lt;&gt;"Other crop",Master_Switch="On")</xm:f>
            <x14:dxf>
              <font>
                <color theme="0"/>
              </font>
              <fill>
                <patternFill>
                  <bgColor theme="0"/>
                </patternFill>
              </fill>
              <border>
                <left/>
                <right/>
                <top/>
                <bottom/>
              </border>
            </x14:dxf>
          </x14:cfRule>
          <xm:sqref>A4:XFD100</xm:sqref>
        </x14:conditionalFormatting>
      </x14:conditionalFormatting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A42C0-2AAE-4765-8861-AC85454DDB80}">
  <sheetPr codeName="Sheet17">
    <tabColor theme="0" tint="-0.34998626667073579"/>
  </sheetPr>
  <dimension ref="A1:Z188"/>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IF(AND(Initial_questions!$E$21&lt;&gt;"Other",Master_Switch="On"),"User should not fill in this sheet, but switch to other non-blank GHG worksheets","")</f>
        <v>User should not fill in this sheet, but switch to other non-blank GHG worksheets</v>
      </c>
      <c r="E1" s="262"/>
    </row>
    <row r="2" spans="1:26" ht="20.399999999999999" customHeight="1">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692</v>
      </c>
      <c r="D8" s="183" t="s">
        <v>582</v>
      </c>
      <c r="E8" s="35"/>
      <c r="F8" s="24"/>
      <c r="G8" s="21"/>
      <c r="H8" s="20"/>
      <c r="I8" s="20"/>
      <c r="J8" s="307"/>
      <c r="K8" s="309"/>
      <c r="L8" s="247">
        <f t="shared" ref="L8:L17" si="0">IF($D8="MWh/yr (LHV)",$E8,$J8*$E8/Conversion_kWh_to_MJ)</f>
        <v>0</v>
      </c>
      <c r="M8" s="12"/>
      <c r="P8" s="110"/>
      <c r="Q8" s="110"/>
      <c r="R8" s="110"/>
      <c r="S8" s="12"/>
      <c r="U8" s="24"/>
      <c r="V8" s="12"/>
    </row>
    <row r="9" spans="1:26">
      <c r="B9" s="190" t="s">
        <v>592</v>
      </c>
      <c r="C9" s="188" t="s">
        <v>646</v>
      </c>
      <c r="D9" s="183" t="s">
        <v>747</v>
      </c>
      <c r="E9" s="35"/>
      <c r="F9" s="24"/>
      <c r="G9" s="21"/>
      <c r="H9" s="20"/>
      <c r="I9" s="36"/>
      <c r="J9" s="307"/>
      <c r="K9" s="309"/>
      <c r="L9" s="247">
        <f t="shared" si="0"/>
        <v>0</v>
      </c>
      <c r="M9" s="12"/>
      <c r="P9" s="35" t="str">
        <f t="shared" ref="P9:P10" si="1">IF(B9="", "", IF(D9="MWh/yr (LHV)", "Use column to right", "Enter data here"))</f>
        <v>Use column to right</v>
      </c>
      <c r="Q9" s="35" t="e">
        <f>INDEX(Assumptions!$F$5:$AJ$5,1,MATCH(Initial_questions!$E$24,Assumptions!$F$4:$AJ$4,0))*1000/Conversion_kWh_to_MJ</f>
        <v>#N/A</v>
      </c>
      <c r="R9" s="35" t="s">
        <v>896</v>
      </c>
      <c r="S9" s="269" t="str">
        <f t="shared" ref="S9:S17" si="2">IFERROR(IF(D9="tonnes/yr", $P9*$E9/($L$20*3.6), $Q9*$E9*3.6/($L$20*3.6)), "Unfilled fields to left")</f>
        <v>Unfilled fields to left</v>
      </c>
      <c r="U9" s="25"/>
      <c r="V9" s="12"/>
    </row>
    <row r="10" spans="1:26">
      <c r="B10" s="190" t="s">
        <v>592</v>
      </c>
      <c r="C10" s="188"/>
      <c r="D10" s="183"/>
      <c r="E10" s="35"/>
      <c r="F10" s="24"/>
      <c r="G10" s="21"/>
      <c r="H10" s="20"/>
      <c r="I10" s="36"/>
      <c r="J10" s="307"/>
      <c r="K10" s="309"/>
      <c r="L10" s="247">
        <f t="shared" si="0"/>
        <v>0</v>
      </c>
      <c r="M10" s="12"/>
      <c r="P10" s="35" t="str">
        <f t="shared" si="1"/>
        <v>Enter data here</v>
      </c>
      <c r="Q10" s="35" t="str">
        <f t="shared" ref="Q10" si="3">IF(B10="", "", IF(D10="MWh/yr (LHV)", "Enter data here", "Use column to left"))</f>
        <v>Use column to left</v>
      </c>
      <c r="R10" s="35" t="s">
        <v>898</v>
      </c>
      <c r="S10" s="269" t="str">
        <f t="shared" si="2"/>
        <v>Unfilled fields to left</v>
      </c>
      <c r="U10" s="25"/>
      <c r="V10" s="12"/>
    </row>
    <row r="11" spans="1:26">
      <c r="B11" s="190" t="s">
        <v>599</v>
      </c>
      <c r="C11" s="188" t="s">
        <v>600</v>
      </c>
      <c r="D11" s="183" t="s">
        <v>582</v>
      </c>
      <c r="E11" s="35"/>
      <c r="F11" s="35"/>
      <c r="G11" s="21"/>
      <c r="H11" s="20"/>
      <c r="I11" s="36"/>
      <c r="J11" s="307"/>
      <c r="K11" s="309"/>
      <c r="L11" s="247">
        <f t="shared" si="0"/>
        <v>0</v>
      </c>
      <c r="M11" s="12"/>
      <c r="P11" s="35" t="str">
        <f t="shared" ref="P11:P17" si="4">IF(B11="", "", IF(D11="MWh/yr (LHV)", "Use column to right", "Enter data here"))</f>
        <v>Enter data here</v>
      </c>
      <c r="Q11" s="35" t="str">
        <f t="shared" ref="Q11:Q17" si="5">IF(B11="", "", IF(D11="MWh/yr (LHV)", "Enter data here", "Use column to left"))</f>
        <v>Use column to left</v>
      </c>
      <c r="R11" s="35" t="s">
        <v>898</v>
      </c>
      <c r="S11" s="269" t="str">
        <f t="shared" si="2"/>
        <v>Unfilled fields to left</v>
      </c>
      <c r="U11" s="25"/>
      <c r="V11" s="12"/>
    </row>
    <row r="12" spans="1:26">
      <c r="B12" s="190" t="s">
        <v>599</v>
      </c>
      <c r="C12" s="188" t="s">
        <v>601</v>
      </c>
      <c r="D12" s="183" t="s">
        <v>582</v>
      </c>
      <c r="E12" s="35"/>
      <c r="F12" s="21"/>
      <c r="G12" s="21"/>
      <c r="H12" s="20"/>
      <c r="I12" s="36"/>
      <c r="J12" s="307"/>
      <c r="K12" s="309"/>
      <c r="L12" s="247">
        <f t="shared" si="0"/>
        <v>0</v>
      </c>
      <c r="M12" s="12"/>
      <c r="P12" s="35" t="str">
        <f t="shared" si="4"/>
        <v>Enter data here</v>
      </c>
      <c r="Q12" s="35" t="str">
        <f t="shared" si="5"/>
        <v>Use column to left</v>
      </c>
      <c r="R12" s="35" t="s">
        <v>898</v>
      </c>
      <c r="S12" s="269" t="str">
        <f t="shared" si="2"/>
        <v>Unfilled fields to left</v>
      </c>
      <c r="U12" s="25"/>
      <c r="V12" s="12"/>
    </row>
    <row r="13" spans="1:26">
      <c r="B13" s="190" t="s">
        <v>605</v>
      </c>
      <c r="C13" s="188" t="s">
        <v>585</v>
      </c>
      <c r="D13" s="183" t="s">
        <v>582</v>
      </c>
      <c r="E13" s="35"/>
      <c r="F13" s="21"/>
      <c r="G13" s="21"/>
      <c r="H13" s="20"/>
      <c r="I13" s="36"/>
      <c r="J13" s="307"/>
      <c r="K13" s="309"/>
      <c r="L13" s="247">
        <f t="shared" si="0"/>
        <v>0</v>
      </c>
      <c r="M13" s="12"/>
      <c r="P13" s="35" t="str">
        <f t="shared" si="4"/>
        <v>Enter data here</v>
      </c>
      <c r="Q13" s="35" t="str">
        <f t="shared" si="5"/>
        <v>Use column to left</v>
      </c>
      <c r="R13" s="35" t="s">
        <v>898</v>
      </c>
      <c r="S13" s="269" t="str">
        <f t="shared" si="2"/>
        <v>Unfilled fields to left</v>
      </c>
      <c r="U13" s="25"/>
      <c r="V13" s="12"/>
    </row>
    <row r="14" spans="1:26">
      <c r="B14" s="190" t="s">
        <v>605</v>
      </c>
      <c r="C14" s="188" t="s">
        <v>635</v>
      </c>
      <c r="D14" s="183" t="s">
        <v>582</v>
      </c>
      <c r="E14" s="35"/>
      <c r="F14" s="21"/>
      <c r="G14" s="21"/>
      <c r="H14" s="20"/>
      <c r="I14" s="36"/>
      <c r="J14" s="307"/>
      <c r="K14" s="309"/>
      <c r="L14" s="247">
        <f t="shared" si="0"/>
        <v>0</v>
      </c>
      <c r="M14" s="12"/>
      <c r="P14" s="35" t="str">
        <f t="shared" si="4"/>
        <v>Enter data here</v>
      </c>
      <c r="Q14" s="35" t="str">
        <f t="shared" si="5"/>
        <v>Use column to left</v>
      </c>
      <c r="R14" s="35" t="s">
        <v>898</v>
      </c>
      <c r="S14" s="269" t="str">
        <f t="shared" si="2"/>
        <v>Unfilled fields to left</v>
      </c>
      <c r="U14" s="25"/>
      <c r="V14" s="12"/>
    </row>
    <row r="15" spans="1:26">
      <c r="B15" s="190" t="s">
        <v>657</v>
      </c>
      <c r="C15" s="188" t="s">
        <v>609</v>
      </c>
      <c r="D15" s="183" t="s">
        <v>582</v>
      </c>
      <c r="E15" s="35"/>
      <c r="F15" s="21"/>
      <c r="G15" s="21"/>
      <c r="H15" s="20"/>
      <c r="I15" s="36"/>
      <c r="J15" s="307"/>
      <c r="K15" s="309"/>
      <c r="L15" s="247">
        <f t="shared" si="0"/>
        <v>0</v>
      </c>
      <c r="M15" s="12"/>
      <c r="P15" s="35" t="str">
        <f t="shared" si="4"/>
        <v>Enter data here</v>
      </c>
      <c r="Q15" s="35" t="str">
        <f t="shared" si="5"/>
        <v>Use column to left</v>
      </c>
      <c r="R15" s="35" t="s">
        <v>898</v>
      </c>
      <c r="S15" s="269" t="str">
        <f t="shared" si="2"/>
        <v>Unfilled fields to left</v>
      </c>
      <c r="U15" s="25"/>
      <c r="V15" s="12"/>
    </row>
    <row r="16" spans="1:26">
      <c r="B16" s="190" t="s">
        <v>657</v>
      </c>
      <c r="C16" s="188" t="s">
        <v>677</v>
      </c>
      <c r="D16" s="183" t="s">
        <v>582</v>
      </c>
      <c r="E16" s="35"/>
      <c r="F16" s="21"/>
      <c r="G16" s="21"/>
      <c r="H16" s="20"/>
      <c r="I16" s="36"/>
      <c r="J16" s="307"/>
      <c r="K16" s="309"/>
      <c r="L16" s="247">
        <f t="shared" si="0"/>
        <v>0</v>
      </c>
      <c r="M16" s="12"/>
      <c r="P16" s="35" t="str">
        <f t="shared" si="4"/>
        <v>Enter data here</v>
      </c>
      <c r="Q16" s="35" t="str">
        <f t="shared" si="5"/>
        <v>Use column to left</v>
      </c>
      <c r="R16" s="35" t="s">
        <v>898</v>
      </c>
      <c r="S16" s="269" t="str">
        <f t="shared" si="2"/>
        <v>Unfilled fields to left</v>
      </c>
      <c r="U16" s="25"/>
      <c r="V16" s="12"/>
    </row>
    <row r="17" spans="2:26">
      <c r="B17" s="16"/>
      <c r="C17" s="15"/>
      <c r="D17" s="183"/>
      <c r="E17" s="35"/>
      <c r="F17" s="21"/>
      <c r="G17" s="21"/>
      <c r="H17" s="20"/>
      <c r="I17" s="36"/>
      <c r="J17" s="307"/>
      <c r="K17" s="309"/>
      <c r="L17" s="247">
        <f t="shared" si="0"/>
        <v>0</v>
      </c>
      <c r="M17" s="12"/>
      <c r="P17" s="35" t="str">
        <f t="shared" si="4"/>
        <v/>
      </c>
      <c r="Q17" s="35" t="str">
        <f t="shared" si="5"/>
        <v/>
      </c>
      <c r="R17" s="35"/>
      <c r="S17" s="269" t="str">
        <f t="shared" si="2"/>
        <v>Unfilled fields to left</v>
      </c>
      <c r="U17" s="25"/>
      <c r="V17" s="12"/>
    </row>
    <row r="18" spans="2:26">
      <c r="C18" s="17"/>
      <c r="D18" s="17"/>
      <c r="E18" s="534"/>
      <c r="F18" s="26"/>
      <c r="G18" s="27"/>
      <c r="H18" s="22"/>
      <c r="I18" s="22"/>
      <c r="J18" s="41"/>
      <c r="K18" s="41"/>
      <c r="L18" s="41"/>
      <c r="P18" s="41"/>
      <c r="Q18" s="41"/>
      <c r="R18" s="41"/>
      <c r="S18" s="143"/>
      <c r="U18" s="27"/>
      <c r="V18" s="12"/>
    </row>
    <row r="19" spans="2:26">
      <c r="B19" s="149" t="s">
        <v>637</v>
      </c>
      <c r="C19" s="149"/>
      <c r="D19" s="149"/>
      <c r="E19" s="308"/>
      <c r="F19" s="149"/>
      <c r="G19" s="149"/>
      <c r="H19" s="149"/>
      <c r="I19" s="149"/>
      <c r="J19" s="308"/>
      <c r="K19" s="308"/>
      <c r="L19" s="308"/>
      <c r="N19"/>
      <c r="O19"/>
      <c r="P19" s="40"/>
      <c r="Q19" s="40"/>
      <c r="R19" s="40"/>
      <c r="S19" s="144"/>
      <c r="T19" s="19"/>
      <c r="U19" s="19"/>
      <c r="V19" s="19"/>
      <c r="W19" s="19"/>
      <c r="X19" s="19"/>
      <c r="Y19" s="19"/>
      <c r="Z19" s="19"/>
    </row>
    <row r="20" spans="2:26">
      <c r="B20" s="16" t="s">
        <v>638</v>
      </c>
      <c r="C20" s="188" t="s">
        <v>692</v>
      </c>
      <c r="D20" s="183" t="s">
        <v>582</v>
      </c>
      <c r="E20" s="35"/>
      <c r="F20" s="21"/>
      <c r="G20" s="21"/>
      <c r="H20" s="21"/>
      <c r="I20" s="21"/>
      <c r="J20" s="307"/>
      <c r="K20" s="313"/>
      <c r="L20" s="247">
        <f t="shared" ref="L20:L31" si="6">IF($D20="MWh/yr (LHV)",$E20,$J20*$E20/Conversion_kWh_to_MJ)</f>
        <v>0</v>
      </c>
      <c r="N20" s="251" t="str">
        <f>IFERROR(L20/L8,"")</f>
        <v/>
      </c>
      <c r="O20" s="250" t="str">
        <f>IFERROR(L20/(SUM($L$20:$L$22)),"")</f>
        <v/>
      </c>
      <c r="P20" s="42"/>
      <c r="Q20" s="42"/>
      <c r="R20" s="42"/>
      <c r="S20" s="145"/>
      <c r="U20" s="21"/>
      <c r="V20" s="12"/>
    </row>
    <row r="21" spans="2:26" s="14" customFormat="1">
      <c r="B21" s="190" t="s">
        <v>583</v>
      </c>
      <c r="C21" s="188" t="s">
        <v>804</v>
      </c>
      <c r="D21" s="183" t="s">
        <v>582</v>
      </c>
      <c r="E21" s="35"/>
      <c r="F21" s="21"/>
      <c r="G21" s="21"/>
      <c r="H21" s="20"/>
      <c r="I21" s="33"/>
      <c r="J21" s="307"/>
      <c r="K21" s="309"/>
      <c r="L21" s="247">
        <f t="shared" si="6"/>
        <v>0</v>
      </c>
      <c r="M21" s="12"/>
      <c r="N21" s="12"/>
      <c r="O21" s="250" t="str">
        <f t="shared" ref="O21:O22" si="7">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6"/>
        <v>0</v>
      </c>
      <c r="M22" s="12"/>
      <c r="N22" s="12"/>
      <c r="O22" s="250" t="str">
        <f t="shared" si="7"/>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6"/>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6"/>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6"/>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6"/>
        <v>0</v>
      </c>
      <c r="M26" s="12"/>
      <c r="N26" s="12"/>
      <c r="O26" s="12"/>
      <c r="P26" s="110"/>
      <c r="Q26" s="110"/>
      <c r="R26" s="110"/>
      <c r="S26" s="12"/>
      <c r="U26" s="21"/>
    </row>
    <row r="27" spans="2:26" s="14" customFormat="1">
      <c r="B27" s="190" t="s">
        <v>611</v>
      </c>
      <c r="C27" s="188" t="s">
        <v>820</v>
      </c>
      <c r="D27" s="183" t="s">
        <v>582</v>
      </c>
      <c r="E27" s="35"/>
      <c r="F27" s="34"/>
      <c r="G27" s="21"/>
      <c r="H27" s="20"/>
      <c r="I27" s="36"/>
      <c r="J27" s="307"/>
      <c r="K27" s="309"/>
      <c r="L27" s="247">
        <f t="shared" si="6"/>
        <v>0</v>
      </c>
      <c r="M27" s="12"/>
      <c r="N27" s="12"/>
      <c r="O27" s="12"/>
      <c r="P27" s="35">
        <v>1000</v>
      </c>
      <c r="Q27" s="546"/>
      <c r="R27" s="35" t="s">
        <v>821</v>
      </c>
      <c r="S27" s="269"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6"/>
        <v>0</v>
      </c>
      <c r="M28" s="12"/>
      <c r="N28" s="12"/>
      <c r="O28" s="12"/>
      <c r="P28" s="35">
        <v>28000</v>
      </c>
      <c r="Q28" s="546"/>
      <c r="R28" s="35" t="s">
        <v>651</v>
      </c>
      <c r="S28" s="269" t="str">
        <f>IFERROR(IF(D28="tonnes/yr", $P28*$E28/($L$20*3.6), $Q28*$E28*3.6/($L$20*3.6)), "Unfilled fields to left")</f>
        <v>Unfilled fields to left</v>
      </c>
      <c r="U28" s="21"/>
    </row>
    <row r="29" spans="2:26" s="14" customFormat="1">
      <c r="B29" s="190" t="s">
        <v>640</v>
      </c>
      <c r="C29" s="188" t="s">
        <v>824</v>
      </c>
      <c r="D29" s="183" t="s">
        <v>582</v>
      </c>
      <c r="E29" s="35"/>
      <c r="F29" s="24"/>
      <c r="G29" s="21"/>
      <c r="H29" s="20"/>
      <c r="I29" s="36"/>
      <c r="J29" s="307"/>
      <c r="K29" s="309"/>
      <c r="L29" s="247">
        <f t="shared" si="6"/>
        <v>0</v>
      </c>
      <c r="M29" s="12"/>
      <c r="N29" s="12"/>
      <c r="O29" s="12"/>
      <c r="P29" s="35">
        <v>265000</v>
      </c>
      <c r="Q29" s="546"/>
      <c r="R29" s="35" t="s">
        <v>651</v>
      </c>
      <c r="S29" s="269"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6"/>
        <v>0</v>
      </c>
      <c r="M30" s="12"/>
      <c r="N30" s="12"/>
      <c r="O30" s="12"/>
      <c r="P30" s="307"/>
      <c r="Q30" s="505"/>
      <c r="R30" s="309"/>
      <c r="S30" s="269" t="str">
        <f>IFERROR(IF(D30="tonnes/yr", $P30*$E30/($L$20*3.6), $Q30*$E30*3.6/($L$20*3.6)), "Unfilled fields to left")</f>
        <v>Unfilled fields to left</v>
      </c>
      <c r="U30" s="21"/>
    </row>
    <row r="31" spans="2:26" s="14" customFormat="1">
      <c r="B31" s="16"/>
      <c r="C31" s="15"/>
      <c r="D31" s="183"/>
      <c r="E31" s="35"/>
      <c r="F31" s="21"/>
      <c r="G31" s="21"/>
      <c r="H31" s="20"/>
      <c r="I31" s="36"/>
      <c r="J31" s="307"/>
      <c r="K31" s="309"/>
      <c r="L31" s="247">
        <f t="shared" si="6"/>
        <v>0</v>
      </c>
      <c r="M31" s="12"/>
      <c r="N31" s="12"/>
      <c r="O31" s="12"/>
      <c r="P31" s="307"/>
      <c r="Q31" s="505"/>
      <c r="R31" s="309"/>
      <c r="S31" s="269"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144"/>
      <c r="V32" s="12"/>
    </row>
    <row r="33" spans="2:22">
      <c r="D33" s="17"/>
      <c r="E33" s="144"/>
      <c r="J33" s="39"/>
      <c r="K33" s="39"/>
      <c r="M33" s="12"/>
      <c r="P33" s="39"/>
      <c r="Q33" s="39"/>
      <c r="R33" s="38" t="s">
        <v>641</v>
      </c>
      <c r="S33" s="175">
        <f>SUM(S7:S32)</f>
        <v>0</v>
      </c>
      <c r="V33" s="12"/>
    </row>
    <row r="34" spans="2:22">
      <c r="B34" s="149" t="s">
        <v>94</v>
      </c>
      <c r="C34" s="163"/>
      <c r="D34" s="163"/>
      <c r="E34" s="527"/>
      <c r="I34" s="12"/>
      <c r="J34" s="110"/>
      <c r="K34" s="110"/>
      <c r="L34" s="110"/>
      <c r="M34" s="12"/>
      <c r="P34" s="110"/>
      <c r="Q34" s="110"/>
      <c r="R34" s="110"/>
      <c r="S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c r="C36" s="15"/>
      <c r="D36" s="15"/>
      <c r="E36" s="535"/>
      <c r="H36" s="12"/>
      <c r="I36" s="12"/>
      <c r="J36" s="110"/>
      <c r="K36" s="110"/>
      <c r="L36" s="110"/>
      <c r="M36" s="12"/>
      <c r="P36" s="110"/>
      <c r="Q36" s="110"/>
      <c r="R36" s="110"/>
      <c r="S36" s="12"/>
      <c r="U36" s="25"/>
      <c r="V36" s="12"/>
    </row>
    <row r="37" spans="2:22">
      <c r="B37" s="16"/>
      <c r="C37" s="15"/>
      <c r="D37" s="15"/>
      <c r="E37" s="535"/>
      <c r="J37" s="39"/>
      <c r="K37" s="39"/>
      <c r="P37" s="39"/>
      <c r="Q37" s="39"/>
      <c r="R37" s="39"/>
      <c r="S37" s="110"/>
      <c r="U37" s="25"/>
    </row>
    <row r="38" spans="2:22">
      <c r="B38" s="16"/>
      <c r="C38" s="15"/>
      <c r="D38" s="15"/>
      <c r="E38" s="535"/>
      <c r="J38" s="39"/>
      <c r="K38" s="39"/>
      <c r="P38" s="39"/>
      <c r="Q38" s="39"/>
      <c r="R38" s="39"/>
      <c r="S38" s="110"/>
      <c r="U38" s="25"/>
    </row>
    <row r="39" spans="2:22">
      <c r="E39" s="110"/>
      <c r="J39" s="39"/>
      <c r="K39" s="39"/>
      <c r="P39" s="39"/>
      <c r="Q39" s="39"/>
      <c r="R39" s="39"/>
      <c r="S39" s="110"/>
    </row>
    <row r="40" spans="2:22">
      <c r="E40" s="110"/>
      <c r="J40" s="39"/>
      <c r="K40" s="39"/>
      <c r="P40" s="39"/>
      <c r="Q40" s="39"/>
      <c r="R40" s="39"/>
      <c r="S40" s="110"/>
    </row>
    <row r="41" spans="2:22">
      <c r="E41" s="110"/>
      <c r="J41" s="39"/>
      <c r="K41" s="39"/>
      <c r="P41" s="39"/>
      <c r="Q41" s="39"/>
      <c r="R41" s="39"/>
      <c r="S41" s="110"/>
    </row>
    <row r="42" spans="2:22">
      <c r="E42" s="110"/>
      <c r="J42" s="39"/>
      <c r="K42" s="39"/>
      <c r="P42" s="39"/>
      <c r="Q42" s="39"/>
      <c r="R42" s="39"/>
      <c r="S42" s="110"/>
    </row>
    <row r="43" spans="2:22">
      <c r="E43" s="110"/>
      <c r="J43" s="39"/>
      <c r="K43" s="39"/>
      <c r="P43" s="39"/>
      <c r="Q43" s="39"/>
      <c r="R43" s="39"/>
      <c r="S43" s="110"/>
    </row>
    <row r="44" spans="2:22">
      <c r="E44" s="110"/>
      <c r="J44" s="39"/>
      <c r="K44" s="39"/>
      <c r="P44" s="39"/>
      <c r="Q44" s="39"/>
      <c r="R44" s="39"/>
      <c r="S44" s="110"/>
    </row>
    <row r="45" spans="2:22">
      <c r="E45" s="110"/>
      <c r="J45" s="39"/>
      <c r="K45" s="39"/>
      <c r="P45" s="39"/>
      <c r="Q45" s="39"/>
      <c r="R45" s="39"/>
      <c r="S45" s="110"/>
    </row>
    <row r="46" spans="2:22">
      <c r="E46" s="110"/>
      <c r="J46" s="39"/>
      <c r="K46" s="39"/>
      <c r="P46" s="39"/>
      <c r="Q46" s="39"/>
      <c r="R46" s="39"/>
      <c r="S46" s="110"/>
    </row>
    <row r="47" spans="2:22">
      <c r="E47" s="110"/>
      <c r="J47" s="39"/>
      <c r="K47" s="39"/>
      <c r="P47" s="39"/>
      <c r="Q47" s="39"/>
      <c r="R47" s="39"/>
      <c r="S47" s="110"/>
    </row>
    <row r="48" spans="2:22">
      <c r="E48" s="110"/>
      <c r="J48" s="39"/>
      <c r="K48" s="39"/>
      <c r="P48" s="39"/>
      <c r="Q48" s="39"/>
      <c r="R48" s="39"/>
      <c r="S48" s="110"/>
    </row>
    <row r="49" spans="5:19">
      <c r="E49" s="110"/>
      <c r="J49" s="39"/>
      <c r="K49" s="39"/>
      <c r="P49" s="39"/>
      <c r="Q49" s="39"/>
      <c r="R49" s="39"/>
      <c r="S49" s="110"/>
    </row>
    <row r="50" spans="5:19">
      <c r="E50" s="110"/>
      <c r="J50" s="39"/>
      <c r="K50" s="39"/>
      <c r="P50" s="39"/>
      <c r="Q50" s="39"/>
      <c r="R50" s="39"/>
      <c r="S50" s="110"/>
    </row>
    <row r="51" spans="5:19">
      <c r="E51" s="110"/>
      <c r="J51" s="39"/>
      <c r="K51" s="39"/>
      <c r="P51" s="39"/>
      <c r="Q51" s="39"/>
      <c r="R51" s="39"/>
      <c r="S51" s="110"/>
    </row>
    <row r="52" spans="5:19">
      <c r="E52" s="110"/>
      <c r="J52" s="39"/>
      <c r="K52" s="39"/>
      <c r="P52" s="39"/>
      <c r="Q52" s="39"/>
      <c r="R52" s="39"/>
      <c r="S52" s="110"/>
    </row>
    <row r="53" spans="5:19">
      <c r="E53" s="110"/>
      <c r="J53" s="39"/>
      <c r="K53" s="39"/>
      <c r="P53" s="39"/>
      <c r="Q53" s="39"/>
      <c r="R53" s="39"/>
      <c r="S53" s="110"/>
    </row>
    <row r="54" spans="5:19">
      <c r="E54" s="110"/>
      <c r="J54" s="39"/>
      <c r="K54" s="39"/>
      <c r="P54" s="39"/>
      <c r="Q54" s="39"/>
      <c r="R54" s="39"/>
      <c r="S54" s="110"/>
    </row>
    <row r="55" spans="5:19">
      <c r="E55" s="110"/>
      <c r="J55" s="39"/>
      <c r="K55" s="39"/>
      <c r="P55" s="39"/>
      <c r="Q55" s="39"/>
      <c r="R55" s="39"/>
      <c r="S55" s="110"/>
    </row>
    <row r="56" spans="5:19">
      <c r="E56" s="110"/>
      <c r="J56" s="39"/>
      <c r="K56" s="39"/>
      <c r="P56" s="39"/>
      <c r="Q56" s="39"/>
      <c r="R56" s="39"/>
      <c r="S56" s="110"/>
    </row>
    <row r="57" spans="5:19">
      <c r="E57" s="110"/>
      <c r="J57" s="39"/>
      <c r="K57" s="39"/>
      <c r="P57" s="39"/>
      <c r="Q57" s="39"/>
      <c r="R57" s="39"/>
      <c r="S57" s="110"/>
    </row>
    <row r="58" spans="5:19">
      <c r="E58" s="110"/>
      <c r="J58" s="39"/>
      <c r="K58" s="39"/>
      <c r="P58" s="39"/>
      <c r="Q58" s="39"/>
      <c r="R58" s="39"/>
      <c r="S58" s="110"/>
    </row>
    <row r="59" spans="5:19">
      <c r="E59" s="110"/>
      <c r="J59" s="39"/>
      <c r="K59" s="39"/>
      <c r="P59" s="39"/>
      <c r="Q59" s="39"/>
      <c r="R59" s="39"/>
      <c r="S59" s="110"/>
    </row>
    <row r="60" spans="5:19">
      <c r="E60" s="110"/>
      <c r="J60" s="39"/>
      <c r="K60" s="39"/>
      <c r="P60" s="39"/>
      <c r="Q60" s="39"/>
      <c r="R60" s="39"/>
      <c r="S60" s="110"/>
    </row>
    <row r="61" spans="5:19">
      <c r="E61" s="110"/>
      <c r="J61" s="39"/>
      <c r="K61" s="39"/>
      <c r="P61" s="39"/>
      <c r="Q61" s="39"/>
      <c r="R61" s="39"/>
      <c r="S61" s="110"/>
    </row>
    <row r="62" spans="5:19">
      <c r="E62" s="110"/>
      <c r="J62" s="39"/>
      <c r="K62" s="39"/>
      <c r="P62" s="39"/>
      <c r="Q62" s="39"/>
      <c r="R62" s="39"/>
      <c r="S62" s="110"/>
    </row>
    <row r="63" spans="5:19">
      <c r="E63" s="110"/>
      <c r="J63" s="39"/>
      <c r="K63" s="39"/>
      <c r="P63" s="39"/>
      <c r="Q63" s="39"/>
      <c r="R63" s="39"/>
      <c r="S63" s="110"/>
    </row>
    <row r="64" spans="5:19">
      <c r="E64" s="110"/>
      <c r="J64" s="39"/>
      <c r="K64" s="39"/>
      <c r="P64" s="39"/>
      <c r="Q64" s="39"/>
      <c r="R64" s="39"/>
      <c r="S64" s="110"/>
    </row>
    <row r="65" spans="5:19">
      <c r="E65" s="110"/>
      <c r="J65" s="39"/>
      <c r="K65" s="39"/>
      <c r="P65" s="39"/>
      <c r="Q65" s="39"/>
      <c r="R65" s="39"/>
      <c r="S65" s="110"/>
    </row>
    <row r="66" spans="5:19">
      <c r="E66" s="110"/>
      <c r="J66" s="39"/>
      <c r="K66" s="39"/>
      <c r="P66" s="39"/>
      <c r="Q66" s="39"/>
      <c r="R66" s="39"/>
      <c r="S66" s="110"/>
    </row>
    <row r="67" spans="5:19">
      <c r="E67" s="110"/>
      <c r="J67" s="39"/>
      <c r="K67" s="39"/>
      <c r="P67" s="39"/>
      <c r="Q67" s="39"/>
      <c r="R67" s="39"/>
      <c r="S67" s="110"/>
    </row>
    <row r="68" spans="5:19">
      <c r="E68" s="110"/>
      <c r="J68" s="39"/>
      <c r="K68" s="39"/>
      <c r="P68" s="39"/>
      <c r="Q68" s="39"/>
      <c r="R68" s="39"/>
      <c r="S68" s="110"/>
    </row>
    <row r="69" spans="5:19">
      <c r="E69" s="110"/>
      <c r="J69" s="39"/>
      <c r="K69" s="39"/>
      <c r="P69" s="39"/>
      <c r="Q69" s="39"/>
      <c r="R69" s="39"/>
      <c r="S69" s="110"/>
    </row>
    <row r="70" spans="5:19">
      <c r="E70" s="110"/>
      <c r="J70" s="39"/>
      <c r="K70" s="39"/>
      <c r="P70" s="39"/>
      <c r="Q70" s="39"/>
      <c r="R70" s="39"/>
      <c r="S70" s="110"/>
    </row>
    <row r="71" spans="5:19">
      <c r="E71" s="110"/>
      <c r="J71" s="39"/>
      <c r="K71" s="39"/>
      <c r="P71" s="39"/>
      <c r="Q71" s="39"/>
      <c r="R71" s="39"/>
      <c r="S71" s="110"/>
    </row>
    <row r="72" spans="5:19">
      <c r="E72" s="110"/>
      <c r="J72" s="39"/>
      <c r="K72" s="39"/>
      <c r="P72" s="39"/>
      <c r="Q72" s="39"/>
      <c r="R72" s="39"/>
      <c r="S72" s="110"/>
    </row>
    <row r="73" spans="5:19">
      <c r="E73" s="110"/>
      <c r="J73" s="39"/>
      <c r="K73" s="39"/>
      <c r="P73" s="39"/>
      <c r="Q73" s="39"/>
      <c r="R73" s="39"/>
      <c r="S73" s="110"/>
    </row>
    <row r="74" spans="5:19">
      <c r="E74" s="110"/>
      <c r="J74" s="39"/>
      <c r="K74" s="39"/>
      <c r="P74" s="39"/>
      <c r="Q74" s="39"/>
      <c r="R74" s="39"/>
    </row>
    <row r="75" spans="5:19">
      <c r="E75" s="110"/>
      <c r="J75" s="39"/>
      <c r="K75" s="39"/>
      <c r="P75" s="39"/>
      <c r="Q75" s="39"/>
      <c r="R75" s="39"/>
    </row>
    <row r="76" spans="5:19">
      <c r="E76" s="110"/>
      <c r="J76" s="39"/>
      <c r="K76" s="39"/>
      <c r="P76" s="39"/>
      <c r="Q76" s="39"/>
      <c r="R76" s="39"/>
    </row>
    <row r="77" spans="5:19">
      <c r="E77" s="110"/>
      <c r="J77" s="39"/>
      <c r="K77" s="39"/>
      <c r="P77" s="39"/>
      <c r="Q77" s="39"/>
      <c r="R77" s="39"/>
    </row>
    <row r="78" spans="5:19">
      <c r="E78" s="110"/>
      <c r="J78" s="39"/>
      <c r="K78" s="39"/>
      <c r="P78" s="39"/>
      <c r="Q78" s="39"/>
      <c r="R78" s="39"/>
    </row>
    <row r="79" spans="5:19">
      <c r="E79" s="110"/>
      <c r="J79" s="39"/>
      <c r="K79" s="39"/>
      <c r="P79" s="39"/>
      <c r="Q79" s="39"/>
      <c r="R79" s="39"/>
    </row>
    <row r="80" spans="5:19">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1" xr:uid="{2DAF523B-EE2C-403A-8C39-AEA5E2C1BB58}">
      <formula1>Flow_units</formula1>
    </dataValidation>
    <dataValidation type="custom" allowBlank="1" showInputMessage="1" showErrorMessage="1" error="Please do not change this formula" prompt="Please do not change this formula" sqref="L1:L1048576 S6:S1048576 T4 M4 S1:S4 N1:O4 N6:O1048576 N5:S5" xr:uid="{2C2CF494-000F-49B2-83A8-62DB94D52366}">
      <formula1>"Please do not change this formula"</formula1>
    </dataValidation>
  </dataValidations>
  <hyperlinks>
    <hyperlink ref="I2:J2" location="Generic_Feedstock_Transport!A1" display="Go to the next step of this pathway" xr:uid="{56A5ABD4-7091-46D3-B947-AA3E33163B8C}"/>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4" id="{82A6BBA3-3565-4E45-B437-1A0A456ED5B9}">
            <xm:f>AND(Initial_questions!$E$21&lt;&gt;"Other",Master_Switch="On")</xm:f>
            <x14:dxf>
              <font>
                <color theme="0"/>
              </font>
              <fill>
                <patternFill>
                  <bgColor theme="0"/>
                </patternFill>
              </fill>
              <border>
                <left/>
                <right/>
                <top/>
                <bottom/>
                <vertical/>
                <horizontal/>
              </border>
            </x14:dxf>
          </x14:cfRule>
          <xm:sqref>A2:XFD100</xm:sqref>
        </x14:conditionalFormatting>
      </x14:conditionalFormatting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1D1B-2CC5-4580-85D8-FF3B4E986A03}">
  <sheetPr codeName="Sheet18">
    <tabColor theme="0" tint="-0.34998626667073579"/>
  </sheetPr>
  <dimension ref="A1:Z188"/>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IF(AND(Initial_questions!$E$21&lt;&gt;"Other",Master_Switch="On"),"User should not fill in this sheet, but switch to other non-blank GHG worksheets","")</f>
        <v>User should not fill in this sheet, but switch to other non-blank GHG worksheets</v>
      </c>
      <c r="E1" s="262"/>
    </row>
    <row r="2" spans="1:26" ht="20.399999999999999" customHeight="1">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692</v>
      </c>
      <c r="D8" s="183" t="s">
        <v>582</v>
      </c>
      <c r="E8" s="35"/>
      <c r="F8" s="21"/>
      <c r="G8" s="21"/>
      <c r="H8" s="20"/>
      <c r="I8" s="20"/>
      <c r="J8" s="307"/>
      <c r="K8" s="309"/>
      <c r="L8" s="247">
        <f t="shared" ref="L8:L17" si="0">IF($D8="MWh/yr (LHV)",$E8,$J8*$E8/Conversion_kWh_to_MJ)</f>
        <v>0</v>
      </c>
      <c r="M8" s="12"/>
      <c r="P8" s="110"/>
      <c r="Q8" s="110"/>
      <c r="R8" s="110"/>
      <c r="S8" s="12"/>
      <c r="U8" s="24"/>
      <c r="V8" s="12"/>
    </row>
    <row r="9" spans="1:26">
      <c r="B9" s="190" t="s">
        <v>592</v>
      </c>
      <c r="C9" s="188" t="s">
        <v>646</v>
      </c>
      <c r="D9" s="183" t="s">
        <v>747</v>
      </c>
      <c r="E9" s="35"/>
      <c r="F9" s="21"/>
      <c r="G9" s="21"/>
      <c r="H9" s="20"/>
      <c r="I9" s="36"/>
      <c r="J9" s="307"/>
      <c r="K9" s="309"/>
      <c r="L9" s="247">
        <f t="shared" si="0"/>
        <v>0</v>
      </c>
      <c r="M9" s="12"/>
      <c r="P9" s="35" t="str">
        <f t="shared" ref="P9:P10" si="1">IF(B9="", "", IF(D9="MWh/yr (LHV)", "Use column to right", "Enter data here"))</f>
        <v>Use column to right</v>
      </c>
      <c r="Q9" s="35" t="e">
        <f>INDEX(Assumptions!$F$5:$AJ$5,1,MATCH(Initial_questions!$E$24,Assumptions!$F$4:$AJ$4,0))*1000/Conversion_kWh_to_MJ</f>
        <v>#N/A</v>
      </c>
      <c r="R9" s="35" t="s">
        <v>896</v>
      </c>
      <c r="S9" s="269" t="str">
        <f t="shared" ref="S9:S17" si="2">IFERROR(IF(D9="tonnes/yr", $P9*$E9/($L$20*3.6), $Q9*$E9*3.6/($L$20*3.6)), "Unfilled fields to left")</f>
        <v>Unfilled fields to left</v>
      </c>
      <c r="U9" s="25"/>
      <c r="V9" s="12"/>
    </row>
    <row r="10" spans="1:26">
      <c r="B10" s="190" t="s">
        <v>592</v>
      </c>
      <c r="C10" s="188"/>
      <c r="D10" s="183"/>
      <c r="E10" s="35"/>
      <c r="F10" s="21"/>
      <c r="G10" s="21"/>
      <c r="H10" s="20"/>
      <c r="I10" s="36"/>
      <c r="J10" s="307"/>
      <c r="K10" s="309"/>
      <c r="L10" s="247">
        <f t="shared" si="0"/>
        <v>0</v>
      </c>
      <c r="M10" s="12"/>
      <c r="P10" s="35" t="str">
        <f t="shared" si="1"/>
        <v>Enter data here</v>
      </c>
      <c r="Q10" s="35" t="str">
        <f t="shared" ref="Q10" si="3">IF(B10="", "", IF(D10="MWh/yr (LHV)", "Enter data here", "Use column to left"))</f>
        <v>Use column to left</v>
      </c>
      <c r="R10" s="35" t="s">
        <v>898</v>
      </c>
      <c r="S10" s="269" t="str">
        <f t="shared" si="2"/>
        <v>Unfilled fields to left</v>
      </c>
      <c r="U10" s="25"/>
      <c r="V10" s="12"/>
    </row>
    <row r="11" spans="1:26">
      <c r="B11" s="190" t="s">
        <v>599</v>
      </c>
      <c r="C11" s="188" t="s">
        <v>600</v>
      </c>
      <c r="D11" s="183" t="s">
        <v>582</v>
      </c>
      <c r="E11" s="35"/>
      <c r="F11" s="24"/>
      <c r="G11" s="21"/>
      <c r="H11" s="20"/>
      <c r="I11" s="36"/>
      <c r="J11" s="307"/>
      <c r="K11" s="309"/>
      <c r="L11" s="247">
        <f t="shared" si="0"/>
        <v>0</v>
      </c>
      <c r="M11" s="12"/>
      <c r="P11" s="35" t="str">
        <f t="shared" ref="P11:P17" si="4">IF(B11="", "", IF(D11="MWh/yr (LHV)", "Use column to right", "Enter data here"))</f>
        <v>Enter data here</v>
      </c>
      <c r="Q11" s="35" t="str">
        <f t="shared" ref="Q11:Q17" si="5">IF(B11="", "", IF(D11="MWh/yr (LHV)", "Enter data here", "Use column to left"))</f>
        <v>Use column to left</v>
      </c>
      <c r="R11" s="35" t="s">
        <v>898</v>
      </c>
      <c r="S11" s="269" t="str">
        <f t="shared" si="2"/>
        <v>Unfilled fields to left</v>
      </c>
      <c r="U11" s="25"/>
      <c r="V11" s="12"/>
    </row>
    <row r="12" spans="1:26">
      <c r="B12" s="190" t="s">
        <v>599</v>
      </c>
      <c r="C12" s="188" t="s">
        <v>601</v>
      </c>
      <c r="D12" s="183" t="s">
        <v>582</v>
      </c>
      <c r="E12" s="35"/>
      <c r="F12" s="21"/>
      <c r="G12" s="21"/>
      <c r="H12" s="20"/>
      <c r="I12" s="36"/>
      <c r="J12" s="307"/>
      <c r="K12" s="309"/>
      <c r="L12" s="247">
        <f t="shared" si="0"/>
        <v>0</v>
      </c>
      <c r="M12" s="12"/>
      <c r="P12" s="35" t="str">
        <f t="shared" si="4"/>
        <v>Enter data here</v>
      </c>
      <c r="Q12" s="35" t="str">
        <f t="shared" si="5"/>
        <v>Use column to left</v>
      </c>
      <c r="R12" s="35" t="s">
        <v>898</v>
      </c>
      <c r="S12" s="269" t="str">
        <f t="shared" si="2"/>
        <v>Unfilled fields to left</v>
      </c>
      <c r="U12" s="25"/>
      <c r="V12" s="12"/>
    </row>
    <row r="13" spans="1:26">
      <c r="B13" s="190" t="s">
        <v>605</v>
      </c>
      <c r="C13" s="188" t="s">
        <v>585</v>
      </c>
      <c r="D13" s="183" t="s">
        <v>582</v>
      </c>
      <c r="E13" s="35"/>
      <c r="F13" s="21"/>
      <c r="G13" s="21"/>
      <c r="H13" s="20"/>
      <c r="I13" s="36"/>
      <c r="J13" s="307"/>
      <c r="K13" s="309"/>
      <c r="L13" s="247">
        <f t="shared" si="0"/>
        <v>0</v>
      </c>
      <c r="M13" s="12"/>
      <c r="P13" s="35" t="str">
        <f t="shared" si="4"/>
        <v>Enter data here</v>
      </c>
      <c r="Q13" s="35" t="str">
        <f t="shared" si="5"/>
        <v>Use column to left</v>
      </c>
      <c r="R13" s="35" t="s">
        <v>898</v>
      </c>
      <c r="S13" s="269" t="str">
        <f t="shared" si="2"/>
        <v>Unfilled fields to left</v>
      </c>
      <c r="U13" s="25"/>
      <c r="V13" s="12"/>
    </row>
    <row r="14" spans="1:26">
      <c r="B14" s="190" t="s">
        <v>605</v>
      </c>
      <c r="C14" s="188" t="s">
        <v>635</v>
      </c>
      <c r="D14" s="183" t="s">
        <v>582</v>
      </c>
      <c r="E14" s="35"/>
      <c r="F14" s="21"/>
      <c r="G14" s="21"/>
      <c r="H14" s="20"/>
      <c r="I14" s="36"/>
      <c r="J14" s="307"/>
      <c r="K14" s="309"/>
      <c r="L14" s="247">
        <f t="shared" si="0"/>
        <v>0</v>
      </c>
      <c r="M14" s="12"/>
      <c r="P14" s="35" t="str">
        <f t="shared" si="4"/>
        <v>Enter data here</v>
      </c>
      <c r="Q14" s="35" t="str">
        <f t="shared" si="5"/>
        <v>Use column to left</v>
      </c>
      <c r="R14" s="35" t="s">
        <v>898</v>
      </c>
      <c r="S14" s="269" t="str">
        <f t="shared" si="2"/>
        <v>Unfilled fields to left</v>
      </c>
      <c r="U14" s="25"/>
      <c r="V14" s="12"/>
    </row>
    <row r="15" spans="1:26">
      <c r="B15" s="190" t="s">
        <v>657</v>
      </c>
      <c r="C15" s="188" t="s">
        <v>609</v>
      </c>
      <c r="D15" s="183" t="s">
        <v>582</v>
      </c>
      <c r="E15" s="35"/>
      <c r="F15" s="21"/>
      <c r="G15" s="21"/>
      <c r="H15" s="20"/>
      <c r="I15" s="36"/>
      <c r="J15" s="307"/>
      <c r="K15" s="309"/>
      <c r="L15" s="247">
        <f t="shared" si="0"/>
        <v>0</v>
      </c>
      <c r="M15" s="12"/>
      <c r="P15" s="35" t="str">
        <f t="shared" si="4"/>
        <v>Enter data here</v>
      </c>
      <c r="Q15" s="35" t="str">
        <f t="shared" si="5"/>
        <v>Use column to left</v>
      </c>
      <c r="R15" s="35" t="s">
        <v>898</v>
      </c>
      <c r="S15" s="269" t="str">
        <f t="shared" si="2"/>
        <v>Unfilled fields to left</v>
      </c>
      <c r="U15" s="25"/>
      <c r="V15" s="12"/>
    </row>
    <row r="16" spans="1:26">
      <c r="B16" s="190" t="s">
        <v>657</v>
      </c>
      <c r="C16" s="188" t="s">
        <v>677</v>
      </c>
      <c r="D16" s="183" t="s">
        <v>582</v>
      </c>
      <c r="E16" s="35"/>
      <c r="F16" s="21"/>
      <c r="G16" s="21"/>
      <c r="H16" s="20"/>
      <c r="I16" s="36"/>
      <c r="J16" s="307"/>
      <c r="K16" s="309"/>
      <c r="L16" s="247">
        <f t="shared" si="0"/>
        <v>0</v>
      </c>
      <c r="M16" s="12"/>
      <c r="P16" s="35" t="str">
        <f t="shared" si="4"/>
        <v>Enter data here</v>
      </c>
      <c r="Q16" s="35" t="str">
        <f t="shared" si="5"/>
        <v>Use column to left</v>
      </c>
      <c r="R16" s="35" t="s">
        <v>898</v>
      </c>
      <c r="S16" s="269" t="str">
        <f t="shared" si="2"/>
        <v>Unfilled fields to left</v>
      </c>
      <c r="U16" s="25"/>
      <c r="V16" s="12"/>
    </row>
    <row r="17" spans="2:26">
      <c r="B17" s="16"/>
      <c r="C17" s="15"/>
      <c r="D17" s="183"/>
      <c r="E17" s="35"/>
      <c r="F17" s="21"/>
      <c r="G17" s="21"/>
      <c r="H17" s="20"/>
      <c r="I17" s="36"/>
      <c r="J17" s="307"/>
      <c r="K17" s="309"/>
      <c r="L17" s="247">
        <f t="shared" si="0"/>
        <v>0</v>
      </c>
      <c r="M17" s="12"/>
      <c r="P17" s="35" t="str">
        <f t="shared" si="4"/>
        <v/>
      </c>
      <c r="Q17" s="35" t="str">
        <f t="shared" si="5"/>
        <v/>
      </c>
      <c r="R17" s="35"/>
      <c r="S17" s="269" t="str">
        <f t="shared" si="2"/>
        <v>Unfilled fields to left</v>
      </c>
      <c r="U17" s="25"/>
      <c r="V17" s="12"/>
    </row>
    <row r="18" spans="2:26">
      <c r="C18" s="17"/>
      <c r="D18" s="17"/>
      <c r="E18" s="534"/>
      <c r="F18" s="26"/>
      <c r="G18" s="27"/>
      <c r="H18" s="22"/>
      <c r="I18" s="22"/>
      <c r="J18" s="41"/>
      <c r="K18" s="41"/>
      <c r="L18" s="41"/>
      <c r="P18" s="41"/>
      <c r="Q18" s="41"/>
      <c r="R18" s="41"/>
      <c r="S18" s="143"/>
      <c r="U18" s="27"/>
      <c r="V18" s="12"/>
    </row>
    <row r="19" spans="2:26">
      <c r="B19" s="149" t="s">
        <v>637</v>
      </c>
      <c r="C19" s="149"/>
      <c r="D19" s="149"/>
      <c r="E19" s="308"/>
      <c r="F19" s="149"/>
      <c r="G19" s="149"/>
      <c r="H19" s="149"/>
      <c r="I19" s="149"/>
      <c r="J19" s="308"/>
      <c r="K19" s="308"/>
      <c r="L19" s="308"/>
      <c r="N19"/>
      <c r="O19"/>
      <c r="P19" s="40"/>
      <c r="Q19" s="40"/>
      <c r="R19" s="40"/>
      <c r="S19" s="144"/>
      <c r="T19" s="19"/>
      <c r="U19" s="19"/>
      <c r="V19" s="19"/>
      <c r="W19" s="19"/>
      <c r="X19" s="19"/>
      <c r="Y19" s="19"/>
      <c r="Z19" s="19"/>
    </row>
    <row r="20" spans="2:26">
      <c r="B20" s="16" t="s">
        <v>638</v>
      </c>
      <c r="C20" s="188" t="s">
        <v>692</v>
      </c>
      <c r="D20" s="183" t="s">
        <v>582</v>
      </c>
      <c r="E20" s="35"/>
      <c r="F20" s="21"/>
      <c r="G20" s="21"/>
      <c r="H20" s="21"/>
      <c r="I20" s="21"/>
      <c r="J20" s="307"/>
      <c r="K20" s="313"/>
      <c r="L20" s="247">
        <f t="shared" ref="L20:L31" si="6">IF($D20="MWh/yr (LHV)",$E20,$J20*$E20/Conversion_kWh_to_MJ)</f>
        <v>0</v>
      </c>
      <c r="N20" s="251" t="str">
        <f>IFERROR(L20/L8,"")</f>
        <v/>
      </c>
      <c r="O20" s="250" t="str">
        <f>IFERROR(L20/(SUM($L$20:$L$22)),"")</f>
        <v/>
      </c>
      <c r="P20" s="42"/>
      <c r="Q20" s="42"/>
      <c r="R20" s="42"/>
      <c r="S20" s="145"/>
      <c r="U20" s="21"/>
      <c r="V20" s="12"/>
    </row>
    <row r="21" spans="2:26" s="14" customFormat="1">
      <c r="B21" s="190" t="s">
        <v>583</v>
      </c>
      <c r="C21" s="188" t="s">
        <v>804</v>
      </c>
      <c r="D21" s="183" t="s">
        <v>582</v>
      </c>
      <c r="E21" s="35"/>
      <c r="F21" s="21"/>
      <c r="G21" s="21"/>
      <c r="H21" s="20"/>
      <c r="I21" s="33"/>
      <c r="J21" s="307"/>
      <c r="K21" s="309"/>
      <c r="L21" s="247">
        <f t="shared" si="6"/>
        <v>0</v>
      </c>
      <c r="M21" s="12"/>
      <c r="N21" s="12"/>
      <c r="O21" s="250" t="str">
        <f t="shared" ref="O21:O22" si="7">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6"/>
        <v>0</v>
      </c>
      <c r="M22" s="12"/>
      <c r="N22" s="12"/>
      <c r="O22" s="250" t="str">
        <f t="shared" si="7"/>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6"/>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6"/>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6"/>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6"/>
        <v>0</v>
      </c>
      <c r="M26" s="12"/>
      <c r="N26" s="12"/>
      <c r="O26" s="12"/>
      <c r="P26" s="110"/>
      <c r="Q26" s="110"/>
      <c r="R26" s="110"/>
      <c r="S26" s="12"/>
      <c r="U26" s="21"/>
    </row>
    <row r="27" spans="2:26" s="14" customFormat="1">
      <c r="B27" s="190" t="s">
        <v>611</v>
      </c>
      <c r="C27" s="188" t="s">
        <v>820</v>
      </c>
      <c r="D27" s="183" t="s">
        <v>582</v>
      </c>
      <c r="E27" s="35"/>
      <c r="F27" s="34"/>
      <c r="G27" s="21"/>
      <c r="H27" s="20"/>
      <c r="I27" s="36"/>
      <c r="J27" s="307"/>
      <c r="K27" s="309"/>
      <c r="L27" s="247">
        <f t="shared" si="6"/>
        <v>0</v>
      </c>
      <c r="M27" s="12"/>
      <c r="N27" s="12"/>
      <c r="O27" s="12"/>
      <c r="P27" s="35">
        <v>1000</v>
      </c>
      <c r="Q27" s="546"/>
      <c r="R27" s="35" t="s">
        <v>821</v>
      </c>
      <c r="S27" s="269"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6"/>
        <v>0</v>
      </c>
      <c r="M28" s="12"/>
      <c r="N28" s="12"/>
      <c r="O28" s="12"/>
      <c r="P28" s="35">
        <v>28000</v>
      </c>
      <c r="Q28" s="546"/>
      <c r="R28" s="35" t="s">
        <v>651</v>
      </c>
      <c r="S28" s="269" t="str">
        <f>IFERROR(IF(D28="tonnes/yr", $P28*$E28/($L$20*3.6), $Q28*$E28*3.6/($L$20*3.6)), "Unfilled fields to left")</f>
        <v>Unfilled fields to left</v>
      </c>
      <c r="U28" s="21"/>
    </row>
    <row r="29" spans="2:26" s="14" customFormat="1">
      <c r="B29" s="190" t="s">
        <v>640</v>
      </c>
      <c r="C29" s="188" t="s">
        <v>824</v>
      </c>
      <c r="D29" s="183" t="s">
        <v>582</v>
      </c>
      <c r="E29" s="35"/>
      <c r="F29" s="21"/>
      <c r="G29" s="21"/>
      <c r="H29" s="20"/>
      <c r="I29" s="36"/>
      <c r="J29" s="307"/>
      <c r="K29" s="309"/>
      <c r="L29" s="247">
        <f t="shared" si="6"/>
        <v>0</v>
      </c>
      <c r="M29" s="12"/>
      <c r="N29" s="12"/>
      <c r="O29" s="12"/>
      <c r="P29" s="35">
        <v>265000</v>
      </c>
      <c r="Q29" s="546"/>
      <c r="R29" s="35" t="s">
        <v>651</v>
      </c>
      <c r="S29" s="269"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6"/>
        <v>0</v>
      </c>
      <c r="M30" s="12"/>
      <c r="N30" s="12"/>
      <c r="O30" s="12"/>
      <c r="P30" s="307"/>
      <c r="Q30" s="505"/>
      <c r="R30" s="309"/>
      <c r="S30" s="269" t="str">
        <f>IFERROR(IF(D30="tonnes/yr", $P30*$E30/($L$20*3.6), $Q30*$E30*3.6/($L$20*3.6)), "Unfilled fields to left")</f>
        <v>Unfilled fields to left</v>
      </c>
      <c r="U30" s="21"/>
    </row>
    <row r="31" spans="2:26" s="14" customFormat="1">
      <c r="B31" s="16"/>
      <c r="C31" s="15"/>
      <c r="D31" s="183"/>
      <c r="E31" s="35"/>
      <c r="F31" s="21"/>
      <c r="G31" s="21"/>
      <c r="H31" s="20"/>
      <c r="I31" s="36"/>
      <c r="J31" s="307"/>
      <c r="K31" s="309"/>
      <c r="L31" s="247">
        <f t="shared" si="6"/>
        <v>0</v>
      </c>
      <c r="M31" s="12"/>
      <c r="N31" s="12"/>
      <c r="O31" s="12"/>
      <c r="P31" s="307"/>
      <c r="Q31" s="505"/>
      <c r="R31" s="309"/>
      <c r="S31" s="269"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144"/>
      <c r="V32" s="12"/>
    </row>
    <row r="33" spans="2:22">
      <c r="D33" s="17"/>
      <c r="E33" s="144"/>
      <c r="J33" s="39"/>
      <c r="K33" s="39"/>
      <c r="M33" s="12"/>
      <c r="P33" s="39"/>
      <c r="Q33" s="39"/>
      <c r="R33" s="38" t="s">
        <v>641</v>
      </c>
      <c r="S33" s="175">
        <f>SUM(S7:S32)</f>
        <v>0</v>
      </c>
      <c r="V33" s="12"/>
    </row>
    <row r="34" spans="2:22">
      <c r="B34" s="149" t="s">
        <v>94</v>
      </c>
      <c r="C34" s="163"/>
      <c r="D34" s="163"/>
      <c r="E34" s="527"/>
      <c r="I34" s="12"/>
      <c r="J34" s="110"/>
      <c r="K34" s="110"/>
      <c r="L34" s="110"/>
      <c r="M34" s="12"/>
      <c r="P34" s="110"/>
      <c r="Q34" s="110"/>
      <c r="R34" s="110"/>
      <c r="S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t="s">
        <v>709</v>
      </c>
      <c r="C36" s="15" t="s">
        <v>710</v>
      </c>
      <c r="D36" s="15" t="s">
        <v>222</v>
      </c>
      <c r="E36" s="535"/>
      <c r="H36" s="12"/>
      <c r="I36" s="12"/>
      <c r="J36" s="110"/>
      <c r="K36" s="110"/>
      <c r="L36" s="110"/>
      <c r="M36" s="12"/>
      <c r="P36" s="110"/>
      <c r="Q36" s="110"/>
      <c r="R36" s="110"/>
      <c r="S36" s="12"/>
      <c r="U36" s="25"/>
      <c r="V36" s="12"/>
    </row>
    <row r="37" spans="2:22">
      <c r="B37" s="16"/>
      <c r="C37" s="15"/>
      <c r="D37" s="15"/>
      <c r="E37" s="535"/>
      <c r="J37" s="39"/>
      <c r="K37" s="39"/>
      <c r="P37" s="39"/>
      <c r="Q37" s="39"/>
      <c r="R37" s="39"/>
      <c r="S37" s="110"/>
      <c r="U37" s="25"/>
    </row>
    <row r="38" spans="2:22">
      <c r="B38" s="16"/>
      <c r="C38" s="15"/>
      <c r="D38" s="15"/>
      <c r="E38" s="535"/>
      <c r="J38" s="39"/>
      <c r="K38" s="39"/>
      <c r="P38" s="39"/>
      <c r="Q38" s="39"/>
      <c r="R38" s="39"/>
      <c r="S38" s="110"/>
      <c r="U38" s="25"/>
    </row>
    <row r="39" spans="2:22">
      <c r="E39" s="110"/>
      <c r="J39" s="39"/>
      <c r="K39" s="39"/>
      <c r="P39" s="39"/>
      <c r="Q39" s="39"/>
      <c r="R39" s="39"/>
      <c r="S39" s="110"/>
    </row>
    <row r="40" spans="2:22">
      <c r="E40" s="110"/>
      <c r="J40" s="39"/>
      <c r="K40" s="39"/>
      <c r="P40" s="39"/>
      <c r="Q40" s="39"/>
      <c r="R40" s="39"/>
      <c r="S40" s="110"/>
    </row>
    <row r="41" spans="2:22">
      <c r="E41" s="110"/>
      <c r="J41" s="39"/>
      <c r="K41" s="39"/>
      <c r="P41" s="39"/>
      <c r="Q41" s="39"/>
      <c r="R41" s="39"/>
      <c r="S41" s="110"/>
    </row>
    <row r="42" spans="2:22">
      <c r="E42" s="110"/>
      <c r="J42" s="39"/>
      <c r="K42" s="39"/>
      <c r="P42" s="39"/>
      <c r="Q42" s="39"/>
      <c r="R42" s="39"/>
      <c r="S42" s="110"/>
    </row>
    <row r="43" spans="2:22">
      <c r="E43" s="110"/>
      <c r="J43" s="39"/>
      <c r="K43" s="39"/>
      <c r="P43" s="39"/>
      <c r="Q43" s="39"/>
      <c r="R43" s="39"/>
      <c r="S43" s="110"/>
    </row>
    <row r="44" spans="2:22">
      <c r="E44" s="110"/>
      <c r="J44" s="39"/>
      <c r="K44" s="39"/>
      <c r="P44" s="39"/>
      <c r="Q44" s="39"/>
      <c r="R44" s="39"/>
      <c r="S44" s="110"/>
    </row>
    <row r="45" spans="2:22">
      <c r="E45" s="110"/>
      <c r="J45" s="39"/>
      <c r="K45" s="39"/>
      <c r="P45" s="39"/>
      <c r="Q45" s="39"/>
      <c r="R45" s="39"/>
      <c r="S45" s="110"/>
    </row>
    <row r="46" spans="2:22">
      <c r="E46" s="110"/>
      <c r="J46" s="39"/>
      <c r="K46" s="39"/>
      <c r="P46" s="39"/>
      <c r="Q46" s="39"/>
      <c r="R46" s="39"/>
      <c r="S46" s="110"/>
    </row>
    <row r="47" spans="2:22">
      <c r="E47" s="110"/>
      <c r="J47" s="39"/>
      <c r="K47" s="39"/>
      <c r="P47" s="39"/>
      <c r="Q47" s="39"/>
      <c r="R47" s="39"/>
      <c r="S47" s="110"/>
    </row>
    <row r="48" spans="2:22">
      <c r="E48" s="110"/>
      <c r="J48" s="39"/>
      <c r="K48" s="39"/>
      <c r="P48" s="39"/>
      <c r="Q48" s="39"/>
      <c r="R48" s="39"/>
      <c r="S48" s="110"/>
    </row>
    <row r="49" spans="5:19">
      <c r="E49" s="110"/>
      <c r="J49" s="39"/>
      <c r="K49" s="39"/>
      <c r="P49" s="39"/>
      <c r="Q49" s="39"/>
      <c r="R49" s="39"/>
      <c r="S49" s="110"/>
    </row>
    <row r="50" spans="5:19">
      <c r="E50" s="110"/>
      <c r="J50" s="39"/>
      <c r="K50" s="39"/>
      <c r="P50" s="39"/>
      <c r="Q50" s="39"/>
      <c r="R50" s="39"/>
      <c r="S50" s="110"/>
    </row>
    <row r="51" spans="5:19">
      <c r="E51" s="110"/>
      <c r="J51" s="39"/>
      <c r="K51" s="39"/>
      <c r="P51" s="39"/>
      <c r="Q51" s="39"/>
      <c r="R51" s="39"/>
      <c r="S51" s="110"/>
    </row>
    <row r="52" spans="5:19">
      <c r="E52" s="110"/>
      <c r="J52" s="39"/>
      <c r="K52" s="39"/>
      <c r="P52" s="39"/>
      <c r="Q52" s="39"/>
      <c r="R52" s="39"/>
      <c r="S52" s="110"/>
    </row>
    <row r="53" spans="5:19">
      <c r="E53" s="110"/>
      <c r="J53" s="39"/>
      <c r="K53" s="39"/>
      <c r="P53" s="39"/>
      <c r="Q53" s="39"/>
      <c r="R53" s="39"/>
      <c r="S53" s="110"/>
    </row>
    <row r="54" spans="5:19">
      <c r="E54" s="110"/>
      <c r="J54" s="39"/>
      <c r="K54" s="39"/>
      <c r="P54" s="39"/>
      <c r="Q54" s="39"/>
      <c r="R54" s="39"/>
      <c r="S54" s="110"/>
    </row>
    <row r="55" spans="5:19">
      <c r="E55" s="110"/>
      <c r="J55" s="39"/>
      <c r="K55" s="39"/>
      <c r="P55" s="39"/>
      <c r="Q55" s="39"/>
      <c r="R55" s="39"/>
      <c r="S55" s="110"/>
    </row>
    <row r="56" spans="5:19">
      <c r="E56" s="110"/>
      <c r="J56" s="39"/>
      <c r="K56" s="39"/>
      <c r="P56" s="39"/>
      <c r="Q56" s="39"/>
      <c r="R56" s="39"/>
      <c r="S56" s="110"/>
    </row>
    <row r="57" spans="5:19">
      <c r="E57" s="110"/>
      <c r="J57" s="39"/>
      <c r="K57" s="39"/>
      <c r="P57" s="39"/>
      <c r="Q57" s="39"/>
      <c r="R57" s="39"/>
      <c r="S57" s="110"/>
    </row>
    <row r="58" spans="5:19">
      <c r="E58" s="110"/>
      <c r="J58" s="39"/>
      <c r="K58" s="39"/>
      <c r="P58" s="39"/>
      <c r="Q58" s="39"/>
      <c r="R58" s="39"/>
      <c r="S58" s="110"/>
    </row>
    <row r="59" spans="5:19">
      <c r="E59" s="110"/>
      <c r="J59" s="39"/>
      <c r="K59" s="39"/>
      <c r="P59" s="39"/>
      <c r="Q59" s="39"/>
      <c r="R59" s="39"/>
      <c r="S59" s="110"/>
    </row>
    <row r="60" spans="5:19">
      <c r="E60" s="110"/>
      <c r="J60" s="39"/>
      <c r="K60" s="39"/>
      <c r="P60" s="39"/>
      <c r="Q60" s="39"/>
      <c r="R60" s="39"/>
      <c r="S60" s="110"/>
    </row>
    <row r="61" spans="5:19">
      <c r="E61" s="110"/>
      <c r="J61" s="39"/>
      <c r="K61" s="39"/>
      <c r="P61" s="39"/>
      <c r="Q61" s="39"/>
      <c r="R61" s="39"/>
      <c r="S61" s="110"/>
    </row>
    <row r="62" spans="5:19">
      <c r="E62" s="110"/>
      <c r="J62" s="39"/>
      <c r="K62" s="39"/>
      <c r="P62" s="39"/>
      <c r="Q62" s="39"/>
      <c r="R62" s="39"/>
      <c r="S62" s="110"/>
    </row>
    <row r="63" spans="5:19">
      <c r="E63" s="110"/>
      <c r="J63" s="39"/>
      <c r="K63" s="39"/>
      <c r="P63" s="39"/>
      <c r="Q63" s="39"/>
      <c r="R63" s="39"/>
      <c r="S63" s="110"/>
    </row>
    <row r="64" spans="5:19">
      <c r="E64" s="110"/>
      <c r="J64" s="39"/>
      <c r="K64" s="39"/>
      <c r="P64" s="39"/>
      <c r="Q64" s="39"/>
      <c r="R64" s="39"/>
      <c r="S64" s="110"/>
    </row>
    <row r="65" spans="5:19">
      <c r="E65" s="110"/>
      <c r="J65" s="39"/>
      <c r="K65" s="39"/>
      <c r="P65" s="39"/>
      <c r="Q65" s="39"/>
      <c r="R65" s="39"/>
      <c r="S65" s="110"/>
    </row>
    <row r="66" spans="5:19">
      <c r="E66" s="110"/>
      <c r="J66" s="39"/>
      <c r="K66" s="39"/>
      <c r="P66" s="39"/>
      <c r="Q66" s="39"/>
      <c r="R66" s="39"/>
      <c r="S66" s="110"/>
    </row>
    <row r="67" spans="5:19">
      <c r="E67" s="110"/>
      <c r="J67" s="39"/>
      <c r="K67" s="39"/>
      <c r="P67" s="39"/>
      <c r="Q67" s="39"/>
      <c r="R67" s="39"/>
      <c r="S67" s="110"/>
    </row>
    <row r="68" spans="5:19">
      <c r="E68" s="110"/>
      <c r="J68" s="39"/>
      <c r="K68" s="39"/>
      <c r="P68" s="39"/>
      <c r="Q68" s="39"/>
      <c r="R68" s="39"/>
      <c r="S68" s="110"/>
    </row>
    <row r="69" spans="5:19">
      <c r="E69" s="110"/>
      <c r="J69" s="39"/>
      <c r="K69" s="39"/>
      <c r="P69" s="39"/>
      <c r="Q69" s="39"/>
      <c r="R69" s="39"/>
      <c r="S69" s="110"/>
    </row>
    <row r="70" spans="5:19">
      <c r="E70" s="110"/>
      <c r="J70" s="39"/>
      <c r="K70" s="39"/>
      <c r="P70" s="39"/>
      <c r="Q70" s="39"/>
      <c r="R70" s="39"/>
      <c r="S70" s="110"/>
    </row>
    <row r="71" spans="5:19">
      <c r="E71" s="110"/>
      <c r="J71" s="39"/>
      <c r="K71" s="39"/>
      <c r="P71" s="39"/>
      <c r="Q71" s="39"/>
      <c r="R71" s="39"/>
      <c r="S71" s="110"/>
    </row>
    <row r="72" spans="5:19">
      <c r="E72" s="110"/>
      <c r="J72" s="39"/>
      <c r="K72" s="39"/>
      <c r="P72" s="39"/>
      <c r="Q72" s="39"/>
      <c r="R72" s="39"/>
      <c r="S72" s="110"/>
    </row>
    <row r="73" spans="5:19">
      <c r="E73" s="110"/>
      <c r="J73" s="39"/>
      <c r="K73" s="39"/>
      <c r="P73" s="39"/>
      <c r="Q73" s="39"/>
      <c r="R73" s="39"/>
      <c r="S73" s="110"/>
    </row>
    <row r="74" spans="5:19">
      <c r="E74" s="110"/>
      <c r="J74" s="39"/>
      <c r="K74" s="39"/>
      <c r="P74" s="39"/>
      <c r="Q74" s="39"/>
      <c r="R74" s="39"/>
    </row>
    <row r="75" spans="5:19">
      <c r="E75" s="110"/>
      <c r="J75" s="39"/>
      <c r="K75" s="39"/>
      <c r="P75" s="39"/>
      <c r="Q75" s="39"/>
      <c r="R75" s="39"/>
    </row>
    <row r="76" spans="5:19">
      <c r="E76" s="110"/>
      <c r="J76" s="39"/>
      <c r="K76" s="39"/>
      <c r="P76" s="39"/>
      <c r="Q76" s="39"/>
      <c r="R76" s="39"/>
    </row>
    <row r="77" spans="5:19">
      <c r="E77" s="110"/>
      <c r="J77" s="39"/>
      <c r="K77" s="39"/>
      <c r="P77" s="39"/>
      <c r="Q77" s="39"/>
      <c r="R77" s="39"/>
    </row>
    <row r="78" spans="5:19">
      <c r="E78" s="110"/>
      <c r="J78" s="39"/>
      <c r="K78" s="39"/>
      <c r="P78" s="39"/>
      <c r="Q78" s="39"/>
      <c r="R78" s="39"/>
    </row>
    <row r="79" spans="5:19">
      <c r="E79" s="110"/>
      <c r="J79" s="39"/>
      <c r="K79" s="39"/>
      <c r="P79" s="39"/>
      <c r="Q79" s="39"/>
      <c r="R79" s="39"/>
    </row>
    <row r="80" spans="5:19">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1" xr:uid="{54A57195-904A-4091-9025-1C7782A915C7}">
      <formula1>Flow_units</formula1>
    </dataValidation>
    <dataValidation type="custom" allowBlank="1" showInputMessage="1" showErrorMessage="1" error="Please do not change this formula" prompt="Please do not change this formula" sqref="L1:L1048576 S6:S1048576 T4 M4 S1:S4 N1:O4 N6:O1048576 N5:S5" xr:uid="{453DDCCF-15EC-4F6F-BA0C-ABB01E6EB763}">
      <formula1>"Please do not change this formula"</formula1>
    </dataValidation>
  </dataValidations>
  <hyperlinks>
    <hyperlink ref="I2:J2" location="'Generic_Pre-Processing'!A1" display="Go to the next step of this pathway" xr:uid="{780D0871-0693-460F-B881-C2A766EDEB7A}"/>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4" id="{B07633DF-272F-4872-BD9F-5033037C5986}">
            <xm:f>AND(Initial_questions!$E$21&lt;&gt;"Other",Master_Switch="On")</xm:f>
            <x14:dxf>
              <font>
                <color theme="0"/>
              </font>
              <fill>
                <patternFill>
                  <bgColor theme="0"/>
                </patternFill>
              </fill>
              <border>
                <left/>
                <right/>
                <top/>
                <bottom/>
                <vertical/>
                <horizontal/>
              </border>
            </x14:dxf>
          </x14:cfRule>
          <xm:sqref>A2:XFD100</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388BD-F401-4E30-BC97-DFBBC1C99DEB}">
  <sheetPr codeName="Sheet38">
    <tabColor theme="0" tint="-0.34998626667073579"/>
  </sheetPr>
  <dimension ref="A1:Z191"/>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IF(AND(Initial_questions!$E$21&lt;&gt;"Other",Master_Switch="On"),"User should not fill in this sheet, but switch to other non-blank GHG worksheets","")</f>
        <v>User should not fill in this sheet, but switch to other non-blank GHG worksheets</v>
      </c>
      <c r="E1" s="262"/>
    </row>
    <row r="2" spans="1:26" ht="20.399999999999999" customHeight="1">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692</v>
      </c>
      <c r="D8" s="183" t="s">
        <v>582</v>
      </c>
      <c r="E8" s="35"/>
      <c r="F8" s="21"/>
      <c r="G8" s="21"/>
      <c r="H8" s="20"/>
      <c r="I8" s="20"/>
      <c r="J8" s="307"/>
      <c r="K8" s="309"/>
      <c r="L8" s="247">
        <f t="shared" ref="L8:L17" si="0">IF($D8="MWh/yr (LHV)",$E8,$J8*$E8/Conversion_kWh_to_MJ)</f>
        <v>0</v>
      </c>
      <c r="M8" s="12"/>
      <c r="P8" s="110"/>
      <c r="Q8" s="110"/>
      <c r="R8" s="110"/>
      <c r="S8" s="12"/>
      <c r="U8" s="24"/>
      <c r="V8" s="12"/>
    </row>
    <row r="9" spans="1:26">
      <c r="B9" s="190" t="s">
        <v>592</v>
      </c>
      <c r="C9" s="188" t="s">
        <v>680</v>
      </c>
      <c r="D9" s="183" t="s">
        <v>747</v>
      </c>
      <c r="E9" s="35"/>
      <c r="F9" s="21"/>
      <c r="G9" s="21"/>
      <c r="H9" s="20"/>
      <c r="I9" s="36"/>
      <c r="J9" s="307"/>
      <c r="K9" s="309"/>
      <c r="L9" s="247">
        <f t="shared" si="0"/>
        <v>0</v>
      </c>
      <c r="M9" s="12"/>
      <c r="P9" s="35" t="str">
        <f t="shared" ref="P9" si="1">IF(B9="", "", IF(D9="MWh/yr (LHV)", "Use column to right", "Enter data here"))</f>
        <v>Use column to right</v>
      </c>
      <c r="Q9" s="35" t="e">
        <f>INDEX(Assumptions!$F$5:$AJ$5,1,MATCH(Initial_questions!$E$24,Assumptions!$F$4:$AJ$4,0))*1000/Conversion_kWh_to_MJ</f>
        <v>#N/A</v>
      </c>
      <c r="R9" s="35" t="s">
        <v>896</v>
      </c>
      <c r="S9" s="269" t="str">
        <f t="shared" ref="S9:S17" si="2">IFERROR(IF(D9="tonnes/yr", $P9*$E9/($L$20*3.6), $Q9*$E9*3.6/($L$20*3.6)), "Unfilled fields to left")</f>
        <v>Unfilled fields to left</v>
      </c>
      <c r="U9" s="25"/>
      <c r="V9" s="12"/>
    </row>
    <row r="10" spans="1:26">
      <c r="B10" s="190" t="s">
        <v>592</v>
      </c>
      <c r="C10" s="188" t="s">
        <v>613</v>
      </c>
      <c r="D10" s="183" t="s">
        <v>747</v>
      </c>
      <c r="E10" s="35"/>
      <c r="F10" s="21"/>
      <c r="G10" s="21"/>
      <c r="H10" s="20"/>
      <c r="I10" s="36"/>
      <c r="J10" s="307"/>
      <c r="K10" s="309"/>
      <c r="L10" s="247">
        <f t="shared" si="0"/>
        <v>0</v>
      </c>
      <c r="M10" s="12"/>
      <c r="P10" s="35" t="str">
        <f t="shared" ref="P10" si="3">IF(B10="", "", IF(D10="MWh/yr (LHV)", "Use column to right", "Enter data here"))</f>
        <v>Use column to right</v>
      </c>
      <c r="Q10" s="35" t="e">
        <f>INDEX(Assumptions!$F$5:$AJ$5,1,MATCH(Initial_questions!$E$24,Assumptions!$F$4:$AJ$4,0))*1000/Conversion_kWh_to_MJ</f>
        <v>#N/A</v>
      </c>
      <c r="R10" s="35" t="s">
        <v>896</v>
      </c>
      <c r="S10" s="269" t="str">
        <f t="shared" si="2"/>
        <v>Unfilled fields to left</v>
      </c>
      <c r="U10" s="25"/>
      <c r="V10" s="12"/>
    </row>
    <row r="11" spans="1:26">
      <c r="B11" s="190" t="s">
        <v>599</v>
      </c>
      <c r="C11" s="188" t="s">
        <v>600</v>
      </c>
      <c r="D11" s="183" t="s">
        <v>582</v>
      </c>
      <c r="E11" s="35"/>
      <c r="F11" s="21"/>
      <c r="G11" s="21"/>
      <c r="H11" s="20"/>
      <c r="I11" s="36"/>
      <c r="J11" s="307"/>
      <c r="K11" s="309"/>
      <c r="L11" s="247">
        <f t="shared" si="0"/>
        <v>0</v>
      </c>
      <c r="M11" s="12"/>
      <c r="P11" s="307" t="str">
        <f t="shared" ref="P11:P17" si="4">IF(B11="", "", IF(D11="MWh/yr (LHV)", "Use column to right", "Enter data here"))</f>
        <v>Enter data here</v>
      </c>
      <c r="Q11" s="307" t="str">
        <f t="shared" ref="Q11:Q17" si="5">IF(B11="", "", IF(D11="MWh/yr (LHV)", "Enter data here", "Use column to left"))</f>
        <v>Use column to left</v>
      </c>
      <c r="R11" s="35" t="s">
        <v>870</v>
      </c>
      <c r="S11" s="269" t="str">
        <f t="shared" si="2"/>
        <v>Unfilled fields to left</v>
      </c>
      <c r="U11" s="25"/>
      <c r="V11" s="12"/>
    </row>
    <row r="12" spans="1:26">
      <c r="B12" s="190" t="s">
        <v>599</v>
      </c>
      <c r="C12" s="188" t="s">
        <v>601</v>
      </c>
      <c r="D12" s="183" t="s">
        <v>582</v>
      </c>
      <c r="E12" s="35"/>
      <c r="F12" s="21"/>
      <c r="G12" s="21"/>
      <c r="H12" s="20"/>
      <c r="I12" s="36"/>
      <c r="J12" s="307"/>
      <c r="K12" s="309"/>
      <c r="L12" s="247">
        <f t="shared" si="0"/>
        <v>0</v>
      </c>
      <c r="M12" s="12"/>
      <c r="P12" s="307" t="str">
        <f t="shared" si="4"/>
        <v>Enter data here</v>
      </c>
      <c r="Q12" s="307" t="str">
        <f t="shared" si="5"/>
        <v>Use column to left</v>
      </c>
      <c r="R12" s="35" t="s">
        <v>870</v>
      </c>
      <c r="S12" s="269" t="str">
        <f t="shared" si="2"/>
        <v>Unfilled fields to left</v>
      </c>
      <c r="U12" s="25"/>
      <c r="V12" s="12"/>
    </row>
    <row r="13" spans="1:26">
      <c r="B13" s="190" t="s">
        <v>605</v>
      </c>
      <c r="C13" s="188" t="s">
        <v>585</v>
      </c>
      <c r="D13" s="183" t="s">
        <v>582</v>
      </c>
      <c r="E13" s="35"/>
      <c r="F13" s="21"/>
      <c r="G13" s="21"/>
      <c r="H13" s="20"/>
      <c r="I13" s="36"/>
      <c r="J13" s="307"/>
      <c r="K13" s="309"/>
      <c r="L13" s="247">
        <f t="shared" si="0"/>
        <v>0</v>
      </c>
      <c r="M13" s="12"/>
      <c r="P13" s="307" t="str">
        <f t="shared" si="4"/>
        <v>Enter data here</v>
      </c>
      <c r="Q13" s="307" t="str">
        <f t="shared" si="5"/>
        <v>Use column to left</v>
      </c>
      <c r="R13" s="35" t="s">
        <v>870</v>
      </c>
      <c r="S13" s="269" t="str">
        <f t="shared" si="2"/>
        <v>Unfilled fields to left</v>
      </c>
      <c r="U13" s="25"/>
      <c r="V13" s="12"/>
    </row>
    <row r="14" spans="1:26">
      <c r="B14" s="190" t="s">
        <v>605</v>
      </c>
      <c r="C14" s="188" t="s">
        <v>635</v>
      </c>
      <c r="D14" s="183" t="s">
        <v>582</v>
      </c>
      <c r="E14" s="35"/>
      <c r="F14" s="21"/>
      <c r="G14" s="21"/>
      <c r="H14" s="20"/>
      <c r="I14" s="36"/>
      <c r="J14" s="307"/>
      <c r="K14" s="309"/>
      <c r="L14" s="247">
        <f t="shared" si="0"/>
        <v>0</v>
      </c>
      <c r="M14" s="12"/>
      <c r="P14" s="307" t="str">
        <f t="shared" si="4"/>
        <v>Enter data here</v>
      </c>
      <c r="Q14" s="307" t="str">
        <f t="shared" si="5"/>
        <v>Use column to left</v>
      </c>
      <c r="R14" s="35" t="s">
        <v>870</v>
      </c>
      <c r="S14" s="269" t="str">
        <f t="shared" si="2"/>
        <v>Unfilled fields to left</v>
      </c>
      <c r="U14" s="25"/>
      <c r="V14" s="12"/>
    </row>
    <row r="15" spans="1:26">
      <c r="B15" s="190" t="s">
        <v>657</v>
      </c>
      <c r="C15" s="188" t="s">
        <v>609</v>
      </c>
      <c r="D15" s="183" t="s">
        <v>582</v>
      </c>
      <c r="E15" s="35"/>
      <c r="F15" s="21"/>
      <c r="G15" s="21"/>
      <c r="H15" s="20"/>
      <c r="I15" s="36"/>
      <c r="J15" s="307"/>
      <c r="K15" s="309"/>
      <c r="L15" s="247">
        <f t="shared" si="0"/>
        <v>0</v>
      </c>
      <c r="M15" s="12"/>
      <c r="P15" s="307" t="str">
        <f t="shared" si="4"/>
        <v>Enter data here</v>
      </c>
      <c r="Q15" s="307" t="str">
        <f t="shared" si="5"/>
        <v>Use column to left</v>
      </c>
      <c r="R15" s="35" t="s">
        <v>870</v>
      </c>
      <c r="S15" s="269" t="str">
        <f t="shared" si="2"/>
        <v>Unfilled fields to left</v>
      </c>
      <c r="U15" s="25"/>
      <c r="V15" s="12"/>
    </row>
    <row r="16" spans="1:26">
      <c r="B16" s="190" t="s">
        <v>657</v>
      </c>
      <c r="C16" s="188" t="s">
        <v>677</v>
      </c>
      <c r="D16" s="183" t="s">
        <v>582</v>
      </c>
      <c r="E16" s="35"/>
      <c r="F16" s="21"/>
      <c r="G16" s="21"/>
      <c r="H16" s="20"/>
      <c r="I16" s="36"/>
      <c r="J16" s="307"/>
      <c r="K16" s="309"/>
      <c r="L16" s="247">
        <f t="shared" si="0"/>
        <v>0</v>
      </c>
      <c r="M16" s="12"/>
      <c r="P16" s="307" t="str">
        <f t="shared" si="4"/>
        <v>Enter data here</v>
      </c>
      <c r="Q16" s="307" t="str">
        <f t="shared" si="5"/>
        <v>Use column to left</v>
      </c>
      <c r="R16" s="35" t="s">
        <v>870</v>
      </c>
      <c r="S16" s="269" t="str">
        <f t="shared" si="2"/>
        <v>Unfilled fields to left</v>
      </c>
      <c r="U16" s="25"/>
      <c r="V16" s="12"/>
    </row>
    <row r="17" spans="2:26">
      <c r="B17" s="16"/>
      <c r="C17" s="15"/>
      <c r="D17" s="183"/>
      <c r="E17" s="35"/>
      <c r="F17" s="21"/>
      <c r="G17" s="21"/>
      <c r="H17" s="20"/>
      <c r="I17" s="36"/>
      <c r="J17" s="307"/>
      <c r="K17" s="309"/>
      <c r="L17" s="247">
        <f t="shared" si="0"/>
        <v>0</v>
      </c>
      <c r="M17" s="12"/>
      <c r="P17" s="309" t="str">
        <f t="shared" si="4"/>
        <v/>
      </c>
      <c r="Q17" s="307" t="str">
        <f t="shared" si="5"/>
        <v/>
      </c>
      <c r="R17" s="309"/>
      <c r="S17" s="269" t="str">
        <f t="shared" si="2"/>
        <v>Unfilled fields to left</v>
      </c>
      <c r="U17" s="25"/>
      <c r="V17" s="12"/>
    </row>
    <row r="18" spans="2:26">
      <c r="C18" s="17"/>
      <c r="D18" s="17"/>
      <c r="E18" s="534"/>
      <c r="F18" s="26"/>
      <c r="G18" s="27"/>
      <c r="H18" s="22"/>
      <c r="I18" s="22"/>
      <c r="J18" s="41"/>
      <c r="K18" s="41"/>
      <c r="L18" s="41"/>
      <c r="P18" s="41"/>
      <c r="Q18" s="41"/>
      <c r="R18" s="41"/>
      <c r="S18" s="143"/>
      <c r="U18" s="27"/>
      <c r="V18" s="12"/>
    </row>
    <row r="19" spans="2:26">
      <c r="B19" s="149" t="s">
        <v>637</v>
      </c>
      <c r="C19" s="149"/>
      <c r="D19" s="149"/>
      <c r="E19" s="308"/>
      <c r="F19" s="149"/>
      <c r="G19" s="149"/>
      <c r="H19" s="149"/>
      <c r="I19" s="149"/>
      <c r="J19" s="308"/>
      <c r="K19" s="308"/>
      <c r="L19" s="308"/>
      <c r="N19"/>
      <c r="O19"/>
      <c r="P19" s="40"/>
      <c r="Q19" s="40"/>
      <c r="R19" s="40"/>
      <c r="S19" s="144"/>
      <c r="T19" s="19"/>
      <c r="U19" s="19"/>
      <c r="V19" s="19"/>
      <c r="W19" s="19"/>
      <c r="X19" s="19"/>
      <c r="Y19" s="19"/>
      <c r="Z19" s="19"/>
    </row>
    <row r="20" spans="2:26">
      <c r="B20" s="16" t="s">
        <v>638</v>
      </c>
      <c r="C20" s="188" t="s">
        <v>693</v>
      </c>
      <c r="D20" s="183" t="s">
        <v>582</v>
      </c>
      <c r="E20" s="35"/>
      <c r="F20" s="21"/>
      <c r="G20" s="21"/>
      <c r="H20" s="21"/>
      <c r="I20" s="21"/>
      <c r="J20" s="307"/>
      <c r="K20" s="313"/>
      <c r="L20" s="247">
        <f t="shared" ref="L20:L34" si="6">IF($D20="MWh/yr (LHV)",$E20,$J20*$E20/Conversion_kWh_to_MJ)</f>
        <v>0</v>
      </c>
      <c r="N20" s="251" t="str">
        <f>IFERROR(L20/L8,"")</f>
        <v/>
      </c>
      <c r="O20" s="250" t="str">
        <f>IFERROR(L20/(SUM($L$20:$L$22)),"")</f>
        <v/>
      </c>
      <c r="P20" s="42"/>
      <c r="Q20" s="42"/>
      <c r="R20" s="42"/>
      <c r="S20" s="145"/>
      <c r="U20" s="21"/>
      <c r="V20" s="12"/>
    </row>
    <row r="21" spans="2:26" s="14" customFormat="1">
      <c r="B21" s="190" t="s">
        <v>583</v>
      </c>
      <c r="C21" s="188" t="s">
        <v>804</v>
      </c>
      <c r="D21" s="183" t="s">
        <v>582</v>
      </c>
      <c r="E21" s="35"/>
      <c r="F21" s="21"/>
      <c r="G21" s="21"/>
      <c r="H21" s="20"/>
      <c r="I21" s="33"/>
      <c r="J21" s="307"/>
      <c r="K21" s="309"/>
      <c r="L21" s="247">
        <f t="shared" si="6"/>
        <v>0</v>
      </c>
      <c r="M21" s="12"/>
      <c r="N21" s="12"/>
      <c r="O21" s="250" t="str">
        <f t="shared" ref="O21:O22" si="7">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6"/>
        <v>0</v>
      </c>
      <c r="M22" s="12"/>
      <c r="N22" s="12"/>
      <c r="O22" s="250" t="str">
        <f t="shared" si="7"/>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6"/>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6"/>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6"/>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6"/>
        <v>0</v>
      </c>
      <c r="M26" s="12"/>
      <c r="N26" s="12"/>
      <c r="O26" s="12"/>
      <c r="P26" s="110"/>
      <c r="Q26" s="110"/>
      <c r="R26" s="110"/>
      <c r="S26" s="12"/>
      <c r="U26" s="21"/>
    </row>
    <row r="27" spans="2:26" s="14" customFormat="1">
      <c r="B27" s="190" t="s">
        <v>611</v>
      </c>
      <c r="C27" s="188" t="s">
        <v>854</v>
      </c>
      <c r="D27" s="183" t="s">
        <v>582</v>
      </c>
      <c r="E27" s="35"/>
      <c r="F27" s="34"/>
      <c r="G27" s="21"/>
      <c r="H27" s="20"/>
      <c r="I27" s="36"/>
      <c r="J27" s="307"/>
      <c r="K27" s="309"/>
      <c r="L27" s="247">
        <f t="shared" si="6"/>
        <v>0</v>
      </c>
      <c r="M27" s="12"/>
      <c r="N27" s="12"/>
      <c r="O27" s="12"/>
      <c r="P27" s="35">
        <v>0</v>
      </c>
      <c r="Q27" s="546"/>
      <c r="R27" s="35" t="s">
        <v>801</v>
      </c>
      <c r="S27" s="269" t="str">
        <f t="shared" ref="S27:S34" si="8">IFERROR(IF(D27="tonnes/yr", $P27*$E27/($L$20*3.6), $Q27*$E27*3.6/($L$20*3.6)), "Unfilled fields to left")</f>
        <v>Unfilled fields to left</v>
      </c>
      <c r="U27" s="21"/>
    </row>
    <row r="28" spans="2:26" s="14" customFormat="1">
      <c r="B28" s="190" t="s">
        <v>611</v>
      </c>
      <c r="C28" s="188" t="s">
        <v>855</v>
      </c>
      <c r="D28" s="183" t="s">
        <v>582</v>
      </c>
      <c r="E28" s="35"/>
      <c r="F28" s="34"/>
      <c r="G28" s="21"/>
      <c r="H28" s="20"/>
      <c r="I28" s="36"/>
      <c r="J28" s="307"/>
      <c r="K28" s="309"/>
      <c r="L28" s="247">
        <f t="shared" si="6"/>
        <v>0</v>
      </c>
      <c r="M28" s="12"/>
      <c r="N28" s="12"/>
      <c r="O28" s="12"/>
      <c r="P28" s="35">
        <v>1000</v>
      </c>
      <c r="Q28" s="546"/>
      <c r="R28" s="35" t="s">
        <v>821</v>
      </c>
      <c r="S28" s="269" t="str">
        <f t="shared" si="8"/>
        <v>Unfilled fields to left</v>
      </c>
      <c r="U28" s="21"/>
    </row>
    <row r="29" spans="2:26" s="14" customFormat="1">
      <c r="B29" s="190" t="s">
        <v>811</v>
      </c>
      <c r="C29" s="188" t="s">
        <v>833</v>
      </c>
      <c r="D29" s="183" t="s">
        <v>582</v>
      </c>
      <c r="E29" s="35">
        <f>E27*$E$39*(1-$E$40)</f>
        <v>0</v>
      </c>
      <c r="F29" s="34"/>
      <c r="G29" s="21"/>
      <c r="H29" s="20"/>
      <c r="I29" s="36"/>
      <c r="J29" s="307"/>
      <c r="K29" s="309"/>
      <c r="L29" s="247">
        <f t="shared" si="6"/>
        <v>0</v>
      </c>
      <c r="M29" s="12"/>
      <c r="N29" s="12"/>
      <c r="O29" s="12"/>
      <c r="P29" s="35">
        <v>-1000</v>
      </c>
      <c r="Q29" s="546"/>
      <c r="R29" s="35" t="s">
        <v>802</v>
      </c>
      <c r="S29" s="269" t="str">
        <f t="shared" si="8"/>
        <v>Unfilled fields to left</v>
      </c>
      <c r="U29" s="21"/>
    </row>
    <row r="30" spans="2:26" s="14" customFormat="1">
      <c r="B30" s="190" t="s">
        <v>811</v>
      </c>
      <c r="C30" s="188" t="s">
        <v>832</v>
      </c>
      <c r="D30" s="183" t="s">
        <v>582</v>
      </c>
      <c r="E30" s="35">
        <f>E28*$E$39*(1-$E$40)</f>
        <v>0</v>
      </c>
      <c r="F30" s="34"/>
      <c r="G30" s="21"/>
      <c r="H30" s="20"/>
      <c r="I30" s="36"/>
      <c r="J30" s="307"/>
      <c r="K30" s="309"/>
      <c r="L30" s="247">
        <f t="shared" si="6"/>
        <v>0</v>
      </c>
      <c r="M30" s="12"/>
      <c r="N30" s="12"/>
      <c r="O30" s="12"/>
      <c r="P30" s="35">
        <v>-1000</v>
      </c>
      <c r="Q30" s="546"/>
      <c r="R30" s="35" t="s">
        <v>827</v>
      </c>
      <c r="S30" s="269" t="str">
        <f t="shared" si="8"/>
        <v>Unfilled fields to left</v>
      </c>
      <c r="U30" s="21"/>
    </row>
    <row r="31" spans="2:26" s="14" customFormat="1">
      <c r="B31" s="190" t="s">
        <v>640</v>
      </c>
      <c r="C31" s="188" t="s">
        <v>823</v>
      </c>
      <c r="D31" s="183" t="s">
        <v>582</v>
      </c>
      <c r="E31" s="35"/>
      <c r="F31" s="34"/>
      <c r="G31" s="21"/>
      <c r="H31" s="20"/>
      <c r="I31" s="36"/>
      <c r="J31" s="307"/>
      <c r="K31" s="309"/>
      <c r="L31" s="247">
        <f t="shared" si="6"/>
        <v>0</v>
      </c>
      <c r="M31" s="12"/>
      <c r="N31" s="12"/>
      <c r="O31" s="12"/>
      <c r="P31" s="35">
        <v>28000</v>
      </c>
      <c r="Q31" s="546"/>
      <c r="R31" s="35" t="s">
        <v>651</v>
      </c>
      <c r="S31" s="269" t="str">
        <f t="shared" si="8"/>
        <v>Unfilled fields to left</v>
      </c>
      <c r="U31" s="21"/>
    </row>
    <row r="32" spans="2:26" s="14" customFormat="1">
      <c r="B32" s="190" t="s">
        <v>640</v>
      </c>
      <c r="C32" s="188" t="s">
        <v>824</v>
      </c>
      <c r="D32" s="183" t="s">
        <v>582</v>
      </c>
      <c r="E32" s="35"/>
      <c r="F32" s="21"/>
      <c r="G32" s="21"/>
      <c r="H32" s="20"/>
      <c r="I32" s="36"/>
      <c r="J32" s="307"/>
      <c r="K32" s="309"/>
      <c r="L32" s="247">
        <f t="shared" si="6"/>
        <v>0</v>
      </c>
      <c r="M32" s="12"/>
      <c r="N32" s="12"/>
      <c r="O32" s="12"/>
      <c r="P32" s="35">
        <v>265000</v>
      </c>
      <c r="Q32" s="546"/>
      <c r="R32" s="35" t="s">
        <v>651</v>
      </c>
      <c r="S32" s="269" t="str">
        <f t="shared" si="8"/>
        <v>Unfilled fields to left</v>
      </c>
      <c r="U32" s="21"/>
    </row>
    <row r="33" spans="2:22" s="14" customFormat="1">
      <c r="B33" s="16"/>
      <c r="C33" s="15"/>
      <c r="D33" s="183"/>
      <c r="E33" s="35"/>
      <c r="F33" s="21"/>
      <c r="G33" s="21"/>
      <c r="H33" s="20"/>
      <c r="I33" s="36"/>
      <c r="J33" s="307"/>
      <c r="K33" s="309"/>
      <c r="L33" s="247">
        <f t="shared" si="6"/>
        <v>0</v>
      </c>
      <c r="M33" s="12"/>
      <c r="N33" s="12"/>
      <c r="O33" s="12"/>
      <c r="P33" s="307"/>
      <c r="Q33" s="505"/>
      <c r="R33" s="309"/>
      <c r="S33" s="269" t="str">
        <f t="shared" si="8"/>
        <v>Unfilled fields to left</v>
      </c>
      <c r="U33" s="21"/>
    </row>
    <row r="34" spans="2:22" s="14" customFormat="1">
      <c r="B34" s="16"/>
      <c r="C34" s="15"/>
      <c r="D34" s="183"/>
      <c r="E34" s="35"/>
      <c r="F34" s="21"/>
      <c r="G34" s="21"/>
      <c r="H34" s="20"/>
      <c r="I34" s="36"/>
      <c r="J34" s="307"/>
      <c r="K34" s="309"/>
      <c r="L34" s="247">
        <f t="shared" si="6"/>
        <v>0</v>
      </c>
      <c r="M34" s="12"/>
      <c r="N34" s="12"/>
      <c r="O34" s="12"/>
      <c r="P34" s="307"/>
      <c r="Q34" s="505"/>
      <c r="R34" s="309"/>
      <c r="S34" s="269" t="str">
        <f t="shared" si="8"/>
        <v>Unfilled fields to left</v>
      </c>
      <c r="U34" s="21"/>
    </row>
    <row r="35" spans="2:22">
      <c r="C35" s="17"/>
      <c r="D35" s="17"/>
      <c r="E35" s="144"/>
      <c r="F35" s="17"/>
      <c r="H35" s="18"/>
      <c r="I35" s="18"/>
      <c r="J35" s="40"/>
      <c r="K35" s="40"/>
      <c r="L35" s="40"/>
      <c r="M35" s="12"/>
      <c r="P35" s="40"/>
      <c r="Q35" s="40"/>
      <c r="R35" s="40"/>
      <c r="S35" s="144"/>
      <c r="V35" s="12"/>
    </row>
    <row r="36" spans="2:22">
      <c r="D36" s="17"/>
      <c r="E36" s="144"/>
      <c r="J36" s="39"/>
      <c r="K36" s="39"/>
      <c r="M36" s="12"/>
      <c r="P36" s="39"/>
      <c r="Q36" s="39"/>
      <c r="R36" s="38" t="s">
        <v>641</v>
      </c>
      <c r="S36" s="175">
        <f>SUM(S7:S35)</f>
        <v>0</v>
      </c>
      <c r="V36" s="12"/>
    </row>
    <row r="37" spans="2:22">
      <c r="B37" s="149" t="s">
        <v>94</v>
      </c>
      <c r="C37" s="163"/>
      <c r="D37" s="163"/>
      <c r="E37" s="527"/>
      <c r="I37" s="12"/>
      <c r="J37" s="110"/>
      <c r="K37" s="110"/>
      <c r="L37" s="110"/>
      <c r="M37" s="12"/>
      <c r="P37" s="110"/>
      <c r="Q37" s="110"/>
      <c r="R37" s="110"/>
      <c r="S37" s="110"/>
      <c r="V37" s="12"/>
    </row>
    <row r="38" spans="2:22">
      <c r="B38" s="16" t="s">
        <v>626</v>
      </c>
      <c r="C38" s="15" t="s">
        <v>627</v>
      </c>
      <c r="D38" s="15" t="s">
        <v>628</v>
      </c>
      <c r="E38" s="529"/>
      <c r="G38" s="19"/>
      <c r="H38" s="12"/>
      <c r="I38" s="12"/>
      <c r="J38" s="110"/>
      <c r="K38" s="110"/>
      <c r="L38" s="110"/>
      <c r="M38" s="12"/>
      <c r="P38" s="110"/>
      <c r="Q38" s="110"/>
      <c r="R38" s="110"/>
      <c r="S38" s="12"/>
      <c r="U38" s="25"/>
      <c r="V38" s="12"/>
    </row>
    <row r="39" spans="2:22">
      <c r="B39" s="16" t="s">
        <v>642</v>
      </c>
      <c r="C39" s="15" t="s">
        <v>652</v>
      </c>
      <c r="D39" s="15" t="s">
        <v>497</v>
      </c>
      <c r="E39" s="539"/>
      <c r="H39" s="12"/>
      <c r="I39" s="12"/>
      <c r="J39" s="110"/>
      <c r="K39" s="110"/>
      <c r="L39" s="110"/>
      <c r="M39" s="12"/>
      <c r="P39" s="110"/>
      <c r="Q39" s="110"/>
      <c r="R39" s="110"/>
      <c r="S39" s="12"/>
      <c r="U39" s="25"/>
      <c r="V39" s="12"/>
    </row>
    <row r="40" spans="2:22">
      <c r="B40" s="16" t="s">
        <v>654</v>
      </c>
      <c r="C40" s="15" t="s">
        <v>655</v>
      </c>
      <c r="D40" s="15" t="s">
        <v>497</v>
      </c>
      <c r="E40" s="539"/>
      <c r="J40" s="39"/>
      <c r="K40" s="39"/>
      <c r="P40" s="39"/>
      <c r="Q40" s="39"/>
      <c r="R40" s="39"/>
      <c r="S40" s="110"/>
      <c r="U40" s="25"/>
    </row>
    <row r="41" spans="2:22">
      <c r="B41" s="16"/>
      <c r="C41" s="15"/>
      <c r="D41" s="15"/>
      <c r="E41" s="535"/>
      <c r="J41" s="39"/>
      <c r="K41" s="39"/>
      <c r="P41" s="39"/>
      <c r="Q41" s="39"/>
      <c r="R41" s="39"/>
      <c r="S41" s="110"/>
      <c r="U41" s="25"/>
    </row>
    <row r="42" spans="2:22">
      <c r="E42" s="110"/>
      <c r="J42" s="39"/>
      <c r="K42" s="39"/>
      <c r="P42" s="39"/>
      <c r="Q42" s="39"/>
      <c r="R42" s="39"/>
      <c r="S42" s="110"/>
    </row>
    <row r="43" spans="2:22">
      <c r="E43" s="110"/>
      <c r="J43" s="39"/>
      <c r="K43" s="39"/>
      <c r="P43" s="39"/>
      <c r="Q43" s="39"/>
      <c r="R43" s="39"/>
      <c r="S43" s="110"/>
    </row>
    <row r="44" spans="2:22">
      <c r="E44" s="110"/>
      <c r="J44" s="39"/>
      <c r="K44" s="39"/>
      <c r="P44" s="39"/>
      <c r="Q44" s="39"/>
      <c r="R44" s="39"/>
      <c r="S44" s="110"/>
    </row>
    <row r="45" spans="2:22">
      <c r="E45" s="110"/>
      <c r="J45" s="39"/>
      <c r="K45" s="39"/>
      <c r="P45" s="39"/>
      <c r="Q45" s="39"/>
      <c r="R45" s="39"/>
      <c r="S45" s="110"/>
    </row>
    <row r="46" spans="2:22">
      <c r="E46" s="110"/>
      <c r="J46" s="39"/>
      <c r="K46" s="39"/>
      <c r="P46" s="39"/>
      <c r="Q46" s="39"/>
      <c r="R46" s="39"/>
      <c r="S46" s="110"/>
    </row>
    <row r="47" spans="2:22">
      <c r="E47" s="110"/>
      <c r="J47" s="39"/>
      <c r="K47" s="39"/>
      <c r="P47" s="39"/>
      <c r="Q47" s="39"/>
      <c r="R47" s="39"/>
      <c r="S47" s="110"/>
    </row>
    <row r="48" spans="2:22">
      <c r="E48" s="110"/>
      <c r="J48" s="39"/>
      <c r="K48" s="39"/>
      <c r="P48" s="39"/>
      <c r="Q48" s="39"/>
      <c r="R48" s="39"/>
      <c r="S48" s="110"/>
    </row>
    <row r="49" spans="5:19">
      <c r="E49" s="110"/>
      <c r="J49" s="39"/>
      <c r="K49" s="39"/>
      <c r="P49" s="39"/>
      <c r="Q49" s="39"/>
      <c r="R49" s="39"/>
      <c r="S49" s="110"/>
    </row>
    <row r="50" spans="5:19">
      <c r="E50" s="110"/>
      <c r="J50" s="39"/>
      <c r="K50" s="39"/>
      <c r="P50" s="39"/>
      <c r="Q50" s="39"/>
      <c r="R50" s="39"/>
      <c r="S50" s="110"/>
    </row>
    <row r="51" spans="5:19">
      <c r="E51" s="110"/>
      <c r="J51" s="39"/>
      <c r="K51" s="39"/>
      <c r="P51" s="39"/>
      <c r="Q51" s="39"/>
      <c r="R51" s="39"/>
      <c r="S51" s="110"/>
    </row>
    <row r="52" spans="5:19">
      <c r="E52" s="110"/>
      <c r="J52" s="39"/>
      <c r="K52" s="39"/>
      <c r="P52" s="39"/>
      <c r="Q52" s="39"/>
      <c r="R52" s="39"/>
      <c r="S52" s="110"/>
    </row>
    <row r="53" spans="5:19">
      <c r="E53" s="110"/>
      <c r="J53" s="39"/>
      <c r="K53" s="39"/>
      <c r="P53" s="39"/>
      <c r="Q53" s="39"/>
      <c r="R53" s="39"/>
      <c r="S53" s="110"/>
    </row>
    <row r="54" spans="5:19">
      <c r="E54" s="110"/>
      <c r="J54" s="39"/>
      <c r="K54" s="39"/>
      <c r="P54" s="39"/>
      <c r="Q54" s="39"/>
      <c r="R54" s="39"/>
      <c r="S54" s="110"/>
    </row>
    <row r="55" spans="5:19">
      <c r="E55" s="110"/>
      <c r="J55" s="39"/>
      <c r="K55" s="39"/>
      <c r="P55" s="39"/>
      <c r="Q55" s="39"/>
      <c r="R55" s="39"/>
      <c r="S55" s="110"/>
    </row>
    <row r="56" spans="5:19">
      <c r="E56" s="110"/>
      <c r="J56" s="39"/>
      <c r="K56" s="39"/>
      <c r="P56" s="39"/>
      <c r="Q56" s="39"/>
      <c r="R56" s="39"/>
      <c r="S56" s="110"/>
    </row>
    <row r="57" spans="5:19">
      <c r="E57" s="110"/>
      <c r="J57" s="39"/>
      <c r="K57" s="39"/>
      <c r="P57" s="39"/>
      <c r="Q57" s="39"/>
      <c r="R57" s="39"/>
      <c r="S57" s="110"/>
    </row>
    <row r="58" spans="5:19">
      <c r="E58" s="110"/>
      <c r="J58" s="39"/>
      <c r="K58" s="39"/>
      <c r="P58" s="39"/>
      <c r="Q58" s="39"/>
      <c r="R58" s="39"/>
      <c r="S58" s="110"/>
    </row>
    <row r="59" spans="5:19">
      <c r="E59" s="110"/>
      <c r="J59" s="39"/>
      <c r="K59" s="39"/>
      <c r="P59" s="39"/>
      <c r="Q59" s="39"/>
      <c r="R59" s="39"/>
      <c r="S59" s="110"/>
    </row>
    <row r="60" spans="5:19">
      <c r="E60" s="110"/>
      <c r="J60" s="39"/>
      <c r="K60" s="39"/>
      <c r="P60" s="39"/>
      <c r="Q60" s="39"/>
      <c r="R60" s="39"/>
      <c r="S60" s="110"/>
    </row>
    <row r="61" spans="5:19">
      <c r="E61" s="110"/>
      <c r="J61" s="39"/>
      <c r="K61" s="39"/>
      <c r="P61" s="39"/>
      <c r="Q61" s="39"/>
      <c r="R61" s="39"/>
      <c r="S61" s="110"/>
    </row>
    <row r="62" spans="5:19">
      <c r="E62" s="110"/>
      <c r="J62" s="39"/>
      <c r="K62" s="39"/>
      <c r="P62" s="39"/>
      <c r="Q62" s="39"/>
      <c r="R62" s="39"/>
      <c r="S62" s="110"/>
    </row>
    <row r="63" spans="5:19">
      <c r="E63" s="110"/>
      <c r="J63" s="39"/>
      <c r="K63" s="39"/>
      <c r="P63" s="39"/>
      <c r="Q63" s="39"/>
      <c r="R63" s="39"/>
      <c r="S63" s="110"/>
    </row>
    <row r="64" spans="5:19">
      <c r="E64" s="110"/>
      <c r="J64" s="39"/>
      <c r="K64" s="39"/>
      <c r="P64" s="39"/>
      <c r="Q64" s="39"/>
      <c r="R64" s="39"/>
      <c r="S64" s="110"/>
    </row>
    <row r="65" spans="5:19">
      <c r="E65" s="110"/>
      <c r="J65" s="39"/>
      <c r="K65" s="39"/>
      <c r="P65" s="39"/>
      <c r="Q65" s="39"/>
      <c r="R65" s="39"/>
      <c r="S65" s="110"/>
    </row>
    <row r="66" spans="5:19">
      <c r="E66" s="110"/>
      <c r="J66" s="39"/>
      <c r="K66" s="39"/>
      <c r="P66" s="39"/>
      <c r="Q66" s="39"/>
      <c r="R66" s="39"/>
      <c r="S66" s="110"/>
    </row>
    <row r="67" spans="5:19">
      <c r="E67" s="110"/>
      <c r="J67" s="39"/>
      <c r="K67" s="39"/>
      <c r="P67" s="39"/>
      <c r="Q67" s="39"/>
      <c r="R67" s="39"/>
      <c r="S67" s="110"/>
    </row>
    <row r="68" spans="5:19">
      <c r="E68" s="110"/>
      <c r="J68" s="39"/>
      <c r="K68" s="39"/>
      <c r="P68" s="39"/>
      <c r="Q68" s="39"/>
      <c r="R68" s="39"/>
      <c r="S68" s="110"/>
    </row>
    <row r="69" spans="5:19">
      <c r="E69" s="110"/>
      <c r="J69" s="39"/>
      <c r="K69" s="39"/>
      <c r="P69" s="39"/>
      <c r="Q69" s="39"/>
      <c r="R69" s="39"/>
      <c r="S69" s="110"/>
    </row>
    <row r="70" spans="5:19">
      <c r="E70" s="110"/>
      <c r="J70" s="39"/>
      <c r="K70" s="39"/>
      <c r="P70" s="39"/>
      <c r="Q70" s="39"/>
      <c r="R70" s="39"/>
      <c r="S70" s="110"/>
    </row>
    <row r="71" spans="5:19">
      <c r="E71" s="110"/>
      <c r="J71" s="39"/>
      <c r="K71" s="39"/>
      <c r="P71" s="39"/>
      <c r="Q71" s="39"/>
      <c r="R71" s="39"/>
      <c r="S71" s="110"/>
    </row>
    <row r="72" spans="5:19">
      <c r="E72" s="110"/>
      <c r="J72" s="39"/>
      <c r="K72" s="39"/>
      <c r="P72" s="39"/>
      <c r="Q72" s="39"/>
      <c r="R72" s="39"/>
      <c r="S72" s="110"/>
    </row>
    <row r="73" spans="5:19">
      <c r="E73" s="110"/>
      <c r="J73" s="39"/>
      <c r="K73" s="39"/>
      <c r="P73" s="39"/>
      <c r="Q73" s="39"/>
      <c r="R73" s="39"/>
      <c r="S73" s="110"/>
    </row>
    <row r="74" spans="5:19">
      <c r="E74" s="110"/>
      <c r="J74" s="39"/>
      <c r="K74" s="39"/>
      <c r="P74" s="39"/>
      <c r="Q74" s="39"/>
      <c r="R74" s="39"/>
      <c r="S74" s="110"/>
    </row>
    <row r="75" spans="5:19">
      <c r="E75" s="110"/>
      <c r="J75" s="39"/>
      <c r="K75" s="39"/>
      <c r="P75" s="39"/>
      <c r="Q75" s="39"/>
      <c r="R75" s="39"/>
      <c r="S75" s="110"/>
    </row>
    <row r="76" spans="5:19">
      <c r="E76" s="110"/>
      <c r="J76" s="39"/>
      <c r="K76" s="39"/>
      <c r="P76" s="39"/>
      <c r="Q76" s="39"/>
      <c r="R76" s="39"/>
      <c r="S76" s="110"/>
    </row>
    <row r="77" spans="5:19">
      <c r="E77" s="110"/>
      <c r="J77" s="39"/>
      <c r="K77" s="39"/>
      <c r="P77" s="39"/>
      <c r="Q77" s="39"/>
      <c r="R77" s="39"/>
    </row>
    <row r="78" spans="5:19">
      <c r="E78" s="110"/>
      <c r="J78" s="39"/>
      <c r="K78" s="39"/>
      <c r="P78" s="39"/>
      <c r="Q78" s="39"/>
      <c r="R78" s="39"/>
    </row>
    <row r="79" spans="5:19">
      <c r="E79" s="110"/>
      <c r="J79" s="39"/>
      <c r="K79" s="39"/>
      <c r="P79" s="39"/>
      <c r="Q79" s="39"/>
      <c r="R79" s="39"/>
    </row>
    <row r="80" spans="5:19">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J122" s="39"/>
      <c r="K122" s="39"/>
      <c r="P122" s="39"/>
      <c r="Q122" s="39"/>
      <c r="R122" s="39"/>
    </row>
    <row r="123" spans="5:18">
      <c r="E123" s="110"/>
      <c r="J123" s="39"/>
      <c r="K123" s="39"/>
      <c r="P123" s="39"/>
      <c r="Q123" s="39"/>
      <c r="R123" s="39"/>
    </row>
    <row r="124" spans="5:18">
      <c r="E124" s="110"/>
      <c r="J124" s="39"/>
      <c r="K124" s="39"/>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E147" s="110"/>
      <c r="P147" s="39"/>
      <c r="Q147" s="39"/>
      <c r="R147" s="39"/>
    </row>
    <row r="148" spans="5:18">
      <c r="E148" s="110"/>
      <c r="P148" s="39"/>
      <c r="Q148" s="39"/>
      <c r="R148" s="39"/>
    </row>
    <row r="149" spans="5:18">
      <c r="E149" s="110"/>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row r="189" spans="16:18">
      <c r="P189" s="39"/>
      <c r="Q189" s="39"/>
      <c r="R189" s="39"/>
    </row>
    <row r="190" spans="16:18">
      <c r="P190" s="39"/>
      <c r="Q190" s="39"/>
      <c r="R190" s="39"/>
    </row>
    <row r="191" spans="16:18">
      <c r="P191" s="39"/>
      <c r="Q191" s="39"/>
      <c r="R191"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20:D34 D8:D17" xr:uid="{B9D5A1FC-5225-492E-A089-125EEAB84646}">
      <formula1>Flow_units</formula1>
    </dataValidation>
    <dataValidation type="custom" allowBlank="1" showInputMessage="1" showErrorMessage="1" error="Please do not change this formula" prompt="Please do not change this formula" sqref="T4 S6:S1048576 L1:L1048576 M4 S1:S4 N1:O4 N6:O1048576 N5:S5" xr:uid="{710BD184-E310-410E-8A9E-AB8B63897359}">
      <formula1>"Please do not change this formula"</formula1>
    </dataValidation>
  </dataValidations>
  <hyperlinks>
    <hyperlink ref="I2:J2" location="Generic_Further_Transport!A1" display="Go to the next step of this pathway" xr:uid="{5CBA12F5-672C-489D-AB07-096061DE4731}"/>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5" id="{E1590E62-AA8C-446A-8FF1-38AF8960BFFF}">
            <xm:f>AND(Initial_questions!$E$21&lt;&gt;"Other",Master_Switch="On")</xm:f>
            <x14:dxf>
              <font>
                <color theme="0"/>
              </font>
              <fill>
                <patternFill>
                  <bgColor theme="0"/>
                </patternFill>
              </fill>
              <border>
                <left/>
                <right/>
                <top/>
                <bottom/>
                <vertical/>
                <horizontal/>
              </border>
            </x14:dxf>
          </x14:cfRule>
          <xm:sqref>A2:XFD100</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86735-E4CE-4D38-8BA8-1785F84A92F4}">
  <sheetPr codeName="Sheet40">
    <tabColor theme="0" tint="-0.34998626667073579"/>
  </sheetPr>
  <dimension ref="A1:Z188"/>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58"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ustomWidth="1"/>
    <col min="21" max="21" width="26" style="12" customWidth="1"/>
    <col min="23" max="16384" width="7.109375" style="12"/>
  </cols>
  <sheetData>
    <row r="1" spans="1:26" ht="31.8" customHeight="1">
      <c r="A1" s="83" t="str">
        <f>IF(AND(Initial_questions!$E$21&lt;&gt;"Other",Master_Switch="On"),"User should not fill in this sheet, but switch to other non-blank GHG worksheets","")</f>
        <v>User should not fill in this sheet, but switch to other non-blank GHG worksheets</v>
      </c>
      <c r="E1" s="262"/>
    </row>
    <row r="2" spans="1:26" ht="20.399999999999999" customHeight="1">
      <c r="E2" s="262"/>
      <c r="I2" s="669" t="s">
        <v>631</v>
      </c>
      <c r="J2" s="671"/>
      <c r="K2" s="672"/>
    </row>
    <row r="3" spans="1:26" ht="15" customHeight="1">
      <c r="E3" s="262"/>
    </row>
    <row r="4" spans="1:26" ht="15.6" customHeight="1" thickBot="1">
      <c r="B4" s="3"/>
      <c r="C4" s="3"/>
      <c r="D4" s="3"/>
      <c r="E4" s="478"/>
      <c r="F4" s="3"/>
      <c r="G4" s="3"/>
      <c r="H4" s="1"/>
      <c r="I4" s="1"/>
      <c r="J4" s="1"/>
      <c r="K4" s="1"/>
      <c r="L4" s="37"/>
      <c r="M4" s="1"/>
      <c r="N4" s="3"/>
      <c r="O4" s="3"/>
      <c r="P4" s="1"/>
      <c r="Q4" s="1"/>
      <c r="R4" s="1"/>
      <c r="S4" s="37"/>
      <c r="T4" s="37"/>
      <c r="U4" s="3"/>
    </row>
    <row r="5" spans="1:26"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6" ht="15" thickTop="1">
      <c r="E6" s="480"/>
      <c r="N6"/>
      <c r="O6"/>
      <c r="P6"/>
      <c r="Q6"/>
      <c r="R6"/>
      <c r="S6"/>
    </row>
    <row r="7" spans="1:26">
      <c r="B7" s="149" t="s">
        <v>632</v>
      </c>
      <c r="C7" s="149"/>
      <c r="D7" s="149"/>
      <c r="E7" s="332"/>
      <c r="F7" s="149"/>
      <c r="G7" s="149"/>
      <c r="H7" s="149"/>
      <c r="I7" s="149"/>
      <c r="J7" s="149"/>
      <c r="K7" s="149"/>
      <c r="L7" s="308"/>
      <c r="N7"/>
      <c r="O7"/>
      <c r="P7"/>
      <c r="Q7"/>
      <c r="R7"/>
      <c r="S7"/>
      <c r="T7" s="19"/>
      <c r="U7" s="19"/>
      <c r="V7" s="19"/>
      <c r="W7" s="19"/>
      <c r="X7" s="19"/>
      <c r="Y7" s="19"/>
      <c r="Z7" s="19"/>
    </row>
    <row r="8" spans="1:26">
      <c r="B8" s="16" t="s">
        <v>644</v>
      </c>
      <c r="C8" s="188" t="s">
        <v>693</v>
      </c>
      <c r="D8" s="183" t="s">
        <v>582</v>
      </c>
      <c r="E8" s="35"/>
      <c r="F8" s="21"/>
      <c r="G8" s="21"/>
      <c r="H8" s="20"/>
      <c r="I8" s="20"/>
      <c r="J8" s="307"/>
      <c r="K8" s="309"/>
      <c r="L8" s="247">
        <f t="shared" ref="L8:L17" si="0">IF($D8="MWh/yr (LHV)",$E8,$J8*$E8/Conversion_kWh_to_MJ)</f>
        <v>0</v>
      </c>
      <c r="M8" s="12"/>
      <c r="P8" s="110"/>
      <c r="Q8" s="110"/>
      <c r="R8" s="110"/>
      <c r="S8" s="12"/>
      <c r="U8" s="24"/>
      <c r="V8" s="12"/>
    </row>
    <row r="9" spans="1:26">
      <c r="B9" s="190" t="s">
        <v>592</v>
      </c>
      <c r="C9" s="188" t="s">
        <v>646</v>
      </c>
      <c r="D9" s="183" t="s">
        <v>747</v>
      </c>
      <c r="E9" s="35"/>
      <c r="F9" s="21"/>
      <c r="G9" s="21"/>
      <c r="H9" s="20"/>
      <c r="I9" s="36"/>
      <c r="J9" s="307"/>
      <c r="K9" s="309"/>
      <c r="L9" s="247">
        <f t="shared" si="0"/>
        <v>0</v>
      </c>
      <c r="M9" s="12"/>
      <c r="P9" s="35" t="str">
        <f t="shared" ref="P9:P10" si="1">IF(B9="", "", IF(D9="MWh/yr (LHV)", "Use column to right", "Enter data here"))</f>
        <v>Use column to right</v>
      </c>
      <c r="Q9" s="35" t="e">
        <f>INDEX(Assumptions!$F$5:$AJ$5,1,MATCH(Initial_questions!$E$24,Assumptions!$F$4:$AJ$4,0))*1000/Conversion_kWh_to_MJ</f>
        <v>#N/A</v>
      </c>
      <c r="R9" s="35" t="s">
        <v>896</v>
      </c>
      <c r="S9" s="269" t="str">
        <f t="shared" ref="S9:S17" si="2">IFERROR(IF(D9="tonnes/yr", $P9*$E9/($L$20*3.6), $Q9*$E9*3.6/($L$20*3.6)), "Unfilled fields to left")</f>
        <v>Unfilled fields to left</v>
      </c>
      <c r="U9" s="25"/>
      <c r="V9" s="12"/>
    </row>
    <row r="10" spans="1:26">
      <c r="B10" s="190" t="s">
        <v>592</v>
      </c>
      <c r="C10" s="188"/>
      <c r="D10" s="183"/>
      <c r="E10" s="35"/>
      <c r="F10" s="21"/>
      <c r="G10" s="21"/>
      <c r="H10" s="20"/>
      <c r="I10" s="36"/>
      <c r="J10" s="307"/>
      <c r="K10" s="309"/>
      <c r="L10" s="247">
        <f t="shared" si="0"/>
        <v>0</v>
      </c>
      <c r="M10" s="12"/>
      <c r="P10" s="307" t="str">
        <f t="shared" si="1"/>
        <v>Enter data here</v>
      </c>
      <c r="Q10" s="307" t="str">
        <f t="shared" ref="Q10" si="3">IF(B10="", "", IF(D10="MWh/yr (LHV)", "Enter data here", "Use column to left"))</f>
        <v>Use column to left</v>
      </c>
      <c r="R10" s="35" t="s">
        <v>898</v>
      </c>
      <c r="S10" s="269" t="str">
        <f t="shared" si="2"/>
        <v>Unfilled fields to left</v>
      </c>
      <c r="U10" s="25"/>
      <c r="V10" s="12"/>
    </row>
    <row r="11" spans="1:26">
      <c r="B11" s="190" t="s">
        <v>599</v>
      </c>
      <c r="C11" s="188" t="s">
        <v>600</v>
      </c>
      <c r="D11" s="183" t="s">
        <v>582</v>
      </c>
      <c r="E11" s="35"/>
      <c r="F11" s="24"/>
      <c r="G11" s="21"/>
      <c r="H11" s="20"/>
      <c r="I11" s="36"/>
      <c r="J11" s="307"/>
      <c r="K11" s="309"/>
      <c r="L11" s="247">
        <f t="shared" si="0"/>
        <v>0</v>
      </c>
      <c r="M11" s="12"/>
      <c r="P11" s="307" t="str">
        <f t="shared" ref="P11:P17" si="4">IF(B11="", "", IF(D11="MWh/yr (LHV)", "Use column to right", "Enter data here"))</f>
        <v>Enter data here</v>
      </c>
      <c r="Q11" s="307" t="str">
        <f t="shared" ref="Q11:Q17" si="5">IF(B11="", "", IF(D11="MWh/yr (LHV)", "Enter data here", "Use column to left"))</f>
        <v>Use column to left</v>
      </c>
      <c r="R11" s="35" t="s">
        <v>898</v>
      </c>
      <c r="S11" s="269" t="str">
        <f t="shared" si="2"/>
        <v>Unfilled fields to left</v>
      </c>
      <c r="U11" s="25"/>
      <c r="V11" s="12"/>
    </row>
    <row r="12" spans="1:26">
      <c r="B12" s="190" t="s">
        <v>599</v>
      </c>
      <c r="C12" s="188" t="s">
        <v>601</v>
      </c>
      <c r="D12" s="183" t="s">
        <v>582</v>
      </c>
      <c r="E12" s="35"/>
      <c r="F12" s="21"/>
      <c r="G12" s="21"/>
      <c r="H12" s="20"/>
      <c r="I12" s="36"/>
      <c r="J12" s="307"/>
      <c r="K12" s="309"/>
      <c r="L12" s="247">
        <f t="shared" si="0"/>
        <v>0</v>
      </c>
      <c r="M12" s="12"/>
      <c r="P12" s="307" t="str">
        <f t="shared" si="4"/>
        <v>Enter data here</v>
      </c>
      <c r="Q12" s="307" t="str">
        <f t="shared" si="5"/>
        <v>Use column to left</v>
      </c>
      <c r="R12" s="35" t="s">
        <v>898</v>
      </c>
      <c r="S12" s="269" t="str">
        <f t="shared" si="2"/>
        <v>Unfilled fields to left</v>
      </c>
      <c r="U12" s="25"/>
      <c r="V12" s="12"/>
    </row>
    <row r="13" spans="1:26">
      <c r="B13" s="190" t="s">
        <v>605</v>
      </c>
      <c r="C13" s="188" t="s">
        <v>585</v>
      </c>
      <c r="D13" s="183" t="s">
        <v>582</v>
      </c>
      <c r="E13" s="35"/>
      <c r="F13" s="21"/>
      <c r="G13" s="21"/>
      <c r="H13" s="20"/>
      <c r="I13" s="36"/>
      <c r="J13" s="307"/>
      <c r="K13" s="309"/>
      <c r="L13" s="247">
        <f t="shared" si="0"/>
        <v>0</v>
      </c>
      <c r="M13" s="12"/>
      <c r="P13" s="307" t="str">
        <f t="shared" si="4"/>
        <v>Enter data here</v>
      </c>
      <c r="Q13" s="307" t="str">
        <f t="shared" si="5"/>
        <v>Use column to left</v>
      </c>
      <c r="R13" s="35" t="s">
        <v>898</v>
      </c>
      <c r="S13" s="269" t="str">
        <f t="shared" si="2"/>
        <v>Unfilled fields to left</v>
      </c>
      <c r="U13" s="25"/>
      <c r="V13" s="12"/>
    </row>
    <row r="14" spans="1:26">
      <c r="B14" s="190" t="s">
        <v>605</v>
      </c>
      <c r="C14" s="188" t="s">
        <v>635</v>
      </c>
      <c r="D14" s="183" t="s">
        <v>582</v>
      </c>
      <c r="E14" s="35"/>
      <c r="F14" s="21"/>
      <c r="G14" s="21"/>
      <c r="H14" s="20"/>
      <c r="I14" s="36"/>
      <c r="J14" s="307"/>
      <c r="K14" s="309"/>
      <c r="L14" s="247">
        <f t="shared" si="0"/>
        <v>0</v>
      </c>
      <c r="M14" s="12"/>
      <c r="P14" s="307" t="str">
        <f t="shared" si="4"/>
        <v>Enter data here</v>
      </c>
      <c r="Q14" s="307" t="str">
        <f t="shared" si="5"/>
        <v>Use column to left</v>
      </c>
      <c r="R14" s="35" t="s">
        <v>898</v>
      </c>
      <c r="S14" s="269" t="str">
        <f t="shared" si="2"/>
        <v>Unfilled fields to left</v>
      </c>
      <c r="U14" s="25"/>
      <c r="V14" s="12"/>
    </row>
    <row r="15" spans="1:26">
      <c r="B15" s="190" t="s">
        <v>657</v>
      </c>
      <c r="C15" s="188" t="s">
        <v>609</v>
      </c>
      <c r="D15" s="183" t="s">
        <v>582</v>
      </c>
      <c r="E15" s="35"/>
      <c r="F15" s="21"/>
      <c r="G15" s="21"/>
      <c r="H15" s="20"/>
      <c r="I15" s="36"/>
      <c r="J15" s="307"/>
      <c r="K15" s="309"/>
      <c r="L15" s="247">
        <f t="shared" si="0"/>
        <v>0</v>
      </c>
      <c r="M15" s="12"/>
      <c r="P15" s="307" t="str">
        <f t="shared" si="4"/>
        <v>Enter data here</v>
      </c>
      <c r="Q15" s="307" t="str">
        <f t="shared" si="5"/>
        <v>Use column to left</v>
      </c>
      <c r="R15" s="35" t="s">
        <v>898</v>
      </c>
      <c r="S15" s="269" t="str">
        <f t="shared" si="2"/>
        <v>Unfilled fields to left</v>
      </c>
      <c r="U15" s="25"/>
      <c r="V15" s="12"/>
    </row>
    <row r="16" spans="1:26">
      <c r="B16" s="190" t="s">
        <v>657</v>
      </c>
      <c r="C16" s="188" t="s">
        <v>677</v>
      </c>
      <c r="D16" s="183" t="s">
        <v>582</v>
      </c>
      <c r="E16" s="35"/>
      <c r="F16" s="21"/>
      <c r="G16" s="21"/>
      <c r="H16" s="20"/>
      <c r="I16" s="36"/>
      <c r="J16" s="307"/>
      <c r="K16" s="309"/>
      <c r="L16" s="247">
        <f t="shared" si="0"/>
        <v>0</v>
      </c>
      <c r="M16" s="12"/>
      <c r="P16" s="307" t="str">
        <f t="shared" si="4"/>
        <v>Enter data here</v>
      </c>
      <c r="Q16" s="307" t="str">
        <f t="shared" si="5"/>
        <v>Use column to left</v>
      </c>
      <c r="R16" s="35" t="s">
        <v>898</v>
      </c>
      <c r="S16" s="269" t="str">
        <f t="shared" si="2"/>
        <v>Unfilled fields to left</v>
      </c>
      <c r="U16" s="25"/>
      <c r="V16" s="12"/>
    </row>
    <row r="17" spans="2:26">
      <c r="B17" s="16"/>
      <c r="C17" s="15"/>
      <c r="D17" s="183"/>
      <c r="E17" s="35"/>
      <c r="F17" s="21"/>
      <c r="G17" s="21"/>
      <c r="H17" s="20"/>
      <c r="I17" s="36"/>
      <c r="J17" s="307"/>
      <c r="K17" s="309"/>
      <c r="L17" s="247">
        <f t="shared" si="0"/>
        <v>0</v>
      </c>
      <c r="M17" s="12"/>
      <c r="P17" s="307" t="str">
        <f t="shared" si="4"/>
        <v/>
      </c>
      <c r="Q17" s="307" t="str">
        <f t="shared" si="5"/>
        <v/>
      </c>
      <c r="R17" s="35"/>
      <c r="S17" s="269" t="str">
        <f t="shared" si="2"/>
        <v>Unfilled fields to left</v>
      </c>
      <c r="U17" s="25"/>
      <c r="V17" s="12"/>
    </row>
    <row r="18" spans="2:26">
      <c r="C18" s="17"/>
      <c r="D18" s="17"/>
      <c r="E18" s="534"/>
      <c r="F18" s="26"/>
      <c r="G18" s="27"/>
      <c r="H18" s="22"/>
      <c r="I18" s="22"/>
      <c r="J18" s="41"/>
      <c r="K18" s="41"/>
      <c r="L18" s="41"/>
      <c r="P18" s="41"/>
      <c r="Q18" s="41"/>
      <c r="R18" s="41"/>
      <c r="S18" s="143"/>
      <c r="U18" s="27"/>
      <c r="V18" s="12"/>
    </row>
    <row r="19" spans="2:26">
      <c r="B19" s="149" t="s">
        <v>637</v>
      </c>
      <c r="C19" s="149"/>
      <c r="D19" s="149"/>
      <c r="E19" s="308"/>
      <c r="F19" s="149"/>
      <c r="G19" s="149"/>
      <c r="H19" s="149"/>
      <c r="I19" s="149"/>
      <c r="J19" s="308"/>
      <c r="K19" s="308"/>
      <c r="L19" s="308"/>
      <c r="N19"/>
      <c r="O19"/>
      <c r="P19" s="40"/>
      <c r="Q19" s="40"/>
      <c r="R19" s="40"/>
      <c r="S19" s="144"/>
      <c r="T19" s="19"/>
      <c r="U19" s="19"/>
      <c r="V19" s="19"/>
      <c r="W19" s="19"/>
      <c r="X19" s="19"/>
      <c r="Y19" s="19"/>
      <c r="Z19" s="19"/>
    </row>
    <row r="20" spans="2:26">
      <c r="B20" s="16" t="s">
        <v>638</v>
      </c>
      <c r="C20" s="188" t="s">
        <v>693</v>
      </c>
      <c r="D20" s="183" t="s">
        <v>582</v>
      </c>
      <c r="E20" s="35"/>
      <c r="F20" s="21"/>
      <c r="G20" s="21"/>
      <c r="H20" s="21"/>
      <c r="I20" s="21"/>
      <c r="J20" s="307"/>
      <c r="K20" s="313"/>
      <c r="L20" s="247">
        <f t="shared" ref="L20:L31" si="6">IF($D20="MWh/yr (LHV)",$E20,$J20*$E20/Conversion_kWh_to_MJ)</f>
        <v>0</v>
      </c>
      <c r="N20" s="251" t="str">
        <f>IFERROR(L20/L8,"")</f>
        <v/>
      </c>
      <c r="O20" s="250" t="str">
        <f>IFERROR(L20/(SUM($L$20:$L$22)),"")</f>
        <v/>
      </c>
      <c r="P20" s="42"/>
      <c r="Q20" s="42"/>
      <c r="R20" s="42"/>
      <c r="S20" s="145"/>
      <c r="U20" s="21"/>
      <c r="V20" s="12"/>
    </row>
    <row r="21" spans="2:26" s="14" customFormat="1">
      <c r="B21" s="190" t="s">
        <v>583</v>
      </c>
      <c r="C21" s="188" t="s">
        <v>804</v>
      </c>
      <c r="D21" s="183" t="s">
        <v>582</v>
      </c>
      <c r="E21" s="35"/>
      <c r="F21" s="21"/>
      <c r="G21" s="21"/>
      <c r="H21" s="20"/>
      <c r="I21" s="33"/>
      <c r="J21" s="307"/>
      <c r="K21" s="309"/>
      <c r="L21" s="247">
        <f t="shared" si="6"/>
        <v>0</v>
      </c>
      <c r="M21" s="12"/>
      <c r="N21" s="12"/>
      <c r="O21" s="250" t="str">
        <f t="shared" ref="O21:O22" si="7">IFERROR(L21/(SUM($L$20:$L$22)),"")</f>
        <v/>
      </c>
      <c r="P21" s="42"/>
      <c r="Q21" s="42"/>
      <c r="R21" s="110"/>
      <c r="S21" s="12"/>
      <c r="T21" s="23"/>
      <c r="U21" s="21"/>
      <c r="V21" s="23"/>
      <c r="W21" s="42"/>
      <c r="Y21" s="12"/>
    </row>
    <row r="22" spans="2:26" s="14" customFormat="1">
      <c r="B22" s="190" t="s">
        <v>583</v>
      </c>
      <c r="C22" s="188" t="s">
        <v>803</v>
      </c>
      <c r="D22" s="183" t="s">
        <v>582</v>
      </c>
      <c r="E22" s="35"/>
      <c r="F22" s="21"/>
      <c r="G22" s="21"/>
      <c r="H22" s="20"/>
      <c r="I22" s="20"/>
      <c r="J22" s="309"/>
      <c r="K22" s="309"/>
      <c r="L22" s="247">
        <f t="shared" si="6"/>
        <v>0</v>
      </c>
      <c r="M22" s="12"/>
      <c r="N22" s="12"/>
      <c r="O22" s="250" t="str">
        <f t="shared" si="7"/>
        <v/>
      </c>
      <c r="P22" s="42"/>
      <c r="Q22" s="42"/>
      <c r="R22" s="110"/>
      <c r="S22" s="12"/>
      <c r="T22" s="23"/>
      <c r="U22" s="21"/>
      <c r="V22" s="23"/>
      <c r="W22" s="42"/>
      <c r="Y22" s="12"/>
    </row>
    <row r="23" spans="2:26" s="14" customFormat="1">
      <c r="B23" s="190" t="s">
        <v>586</v>
      </c>
      <c r="C23" s="188" t="s">
        <v>587</v>
      </c>
      <c r="D23" s="183" t="s">
        <v>582</v>
      </c>
      <c r="E23" s="35"/>
      <c r="F23" s="21"/>
      <c r="G23" s="21"/>
      <c r="H23" s="20"/>
      <c r="I23" s="20"/>
      <c r="J23" s="309"/>
      <c r="K23" s="309"/>
      <c r="L23" s="247">
        <f t="shared" si="6"/>
        <v>0</v>
      </c>
      <c r="M23" s="12"/>
      <c r="N23" s="12"/>
      <c r="O23" s="12"/>
      <c r="P23" s="110"/>
      <c r="Q23" s="110"/>
      <c r="R23" s="110"/>
      <c r="S23" s="12"/>
      <c r="T23" s="23"/>
      <c r="U23" s="21"/>
      <c r="V23" s="23"/>
      <c r="W23" s="42"/>
      <c r="Y23" s="12"/>
    </row>
    <row r="24" spans="2:26" s="14" customFormat="1">
      <c r="B24" s="190" t="s">
        <v>586</v>
      </c>
      <c r="C24" s="188" t="s">
        <v>588</v>
      </c>
      <c r="D24" s="183" t="s">
        <v>582</v>
      </c>
      <c r="E24" s="35"/>
      <c r="F24" s="21"/>
      <c r="G24" s="21"/>
      <c r="H24" s="20"/>
      <c r="I24" s="20"/>
      <c r="J24" s="309"/>
      <c r="K24" s="309"/>
      <c r="L24" s="247">
        <f t="shared" si="6"/>
        <v>0</v>
      </c>
      <c r="M24" s="12"/>
      <c r="N24" s="12"/>
      <c r="O24" s="12"/>
      <c r="P24" s="110"/>
      <c r="Q24" s="110"/>
      <c r="R24" s="110"/>
      <c r="S24" s="12"/>
      <c r="T24" s="23"/>
      <c r="U24" s="21"/>
      <c r="V24" s="23"/>
      <c r="W24" s="42"/>
      <c r="Y24" s="12"/>
    </row>
    <row r="25" spans="2:26" s="14" customFormat="1">
      <c r="B25" s="190" t="s">
        <v>589</v>
      </c>
      <c r="C25" s="188" t="s">
        <v>590</v>
      </c>
      <c r="D25" s="183" t="s">
        <v>582</v>
      </c>
      <c r="E25" s="35"/>
      <c r="F25" s="21"/>
      <c r="G25" s="21"/>
      <c r="H25" s="20"/>
      <c r="I25" s="36"/>
      <c r="J25" s="307"/>
      <c r="K25" s="309"/>
      <c r="L25" s="247">
        <f t="shared" si="6"/>
        <v>0</v>
      </c>
      <c r="M25" s="12"/>
      <c r="N25" s="12"/>
      <c r="O25" s="12"/>
      <c r="P25" s="110"/>
      <c r="Q25" s="110"/>
      <c r="R25" s="110"/>
      <c r="S25" s="12"/>
      <c r="U25" s="21"/>
    </row>
    <row r="26" spans="2:26" s="14" customFormat="1">
      <c r="B26" s="190" t="s">
        <v>589</v>
      </c>
      <c r="C26" s="188" t="s">
        <v>591</v>
      </c>
      <c r="D26" s="183" t="s">
        <v>582</v>
      </c>
      <c r="E26" s="35"/>
      <c r="F26" s="21"/>
      <c r="G26" s="21"/>
      <c r="H26" s="20"/>
      <c r="I26" s="36"/>
      <c r="J26" s="307"/>
      <c r="K26" s="309"/>
      <c r="L26" s="247">
        <f t="shared" si="6"/>
        <v>0</v>
      </c>
      <c r="M26" s="12"/>
      <c r="N26" s="12"/>
      <c r="O26" s="12"/>
      <c r="P26" s="110"/>
      <c r="Q26" s="110"/>
      <c r="R26" s="110"/>
      <c r="S26" s="12"/>
      <c r="U26" s="21"/>
    </row>
    <row r="27" spans="2:26" s="14" customFormat="1">
      <c r="B27" s="190" t="s">
        <v>611</v>
      </c>
      <c r="C27" s="188" t="s">
        <v>820</v>
      </c>
      <c r="D27" s="183" t="s">
        <v>582</v>
      </c>
      <c r="E27" s="35"/>
      <c r="F27" s="34"/>
      <c r="G27" s="21"/>
      <c r="H27" s="20"/>
      <c r="I27" s="36"/>
      <c r="J27" s="307"/>
      <c r="K27" s="309"/>
      <c r="L27" s="247">
        <f t="shared" si="6"/>
        <v>0</v>
      </c>
      <c r="M27" s="12"/>
      <c r="N27" s="12"/>
      <c r="O27" s="12"/>
      <c r="P27" s="35">
        <v>1000</v>
      </c>
      <c r="Q27" s="546"/>
      <c r="R27" s="35" t="s">
        <v>821</v>
      </c>
      <c r="S27" s="269" t="str">
        <f>IFERROR(IF(D27="tonnes/yr", $P27*$E27/($L$20*3.6), $Q27*$E27*3.6/($L$20*3.6)), "Unfilled fields to left")</f>
        <v>Unfilled fields to left</v>
      </c>
      <c r="U27" s="21"/>
    </row>
    <row r="28" spans="2:26" s="14" customFormat="1">
      <c r="B28" s="190" t="s">
        <v>640</v>
      </c>
      <c r="C28" s="188" t="s">
        <v>823</v>
      </c>
      <c r="D28" s="183" t="s">
        <v>582</v>
      </c>
      <c r="E28" s="35"/>
      <c r="F28" s="34"/>
      <c r="G28" s="21"/>
      <c r="H28" s="20"/>
      <c r="I28" s="36"/>
      <c r="J28" s="307"/>
      <c r="K28" s="309"/>
      <c r="L28" s="247">
        <f t="shared" si="6"/>
        <v>0</v>
      </c>
      <c r="M28" s="12"/>
      <c r="N28" s="12"/>
      <c r="O28" s="12"/>
      <c r="P28" s="35">
        <v>28000</v>
      </c>
      <c r="Q28" s="546"/>
      <c r="R28" s="35" t="s">
        <v>651</v>
      </c>
      <c r="S28" s="269" t="str">
        <f>IFERROR(IF(D28="tonnes/yr", $P28*$E28/($L$20*3.6), $Q28*$E28*3.6/($L$20*3.6)), "Unfilled fields to left")</f>
        <v>Unfilled fields to left</v>
      </c>
      <c r="U28" s="21"/>
    </row>
    <row r="29" spans="2:26" s="14" customFormat="1">
      <c r="B29" s="190" t="s">
        <v>640</v>
      </c>
      <c r="C29" s="188" t="s">
        <v>824</v>
      </c>
      <c r="D29" s="183" t="s">
        <v>582</v>
      </c>
      <c r="E29" s="35"/>
      <c r="F29" s="21"/>
      <c r="G29" s="21"/>
      <c r="H29" s="20"/>
      <c r="I29" s="36"/>
      <c r="J29" s="307"/>
      <c r="K29" s="309"/>
      <c r="L29" s="247">
        <f t="shared" si="6"/>
        <v>0</v>
      </c>
      <c r="M29" s="12"/>
      <c r="N29" s="12"/>
      <c r="O29" s="12"/>
      <c r="P29" s="35">
        <v>265000</v>
      </c>
      <c r="Q29" s="546"/>
      <c r="R29" s="35" t="s">
        <v>651</v>
      </c>
      <c r="S29" s="269" t="str">
        <f>IFERROR(IF(D29="tonnes/yr", $P29*$E29/($L$20*3.6), $Q29*$E29*3.6/($L$20*3.6)), "Unfilled fields to left")</f>
        <v>Unfilled fields to left</v>
      </c>
      <c r="U29" s="21"/>
    </row>
    <row r="30" spans="2:26" s="14" customFormat="1">
      <c r="B30" s="16"/>
      <c r="C30" s="15"/>
      <c r="D30" s="183"/>
      <c r="E30" s="35"/>
      <c r="F30" s="21"/>
      <c r="G30" s="21"/>
      <c r="H30" s="20"/>
      <c r="I30" s="36"/>
      <c r="J30" s="307"/>
      <c r="K30" s="309"/>
      <c r="L30" s="247">
        <f t="shared" si="6"/>
        <v>0</v>
      </c>
      <c r="M30" s="12"/>
      <c r="N30" s="12"/>
      <c r="O30" s="12"/>
      <c r="P30" s="307" t="str">
        <f t="shared" ref="P30:P31" si="8">IF(B30="", "", IF(D30="MWh/yr (LHV)", "Use column to right", "Enter data here"))</f>
        <v/>
      </c>
      <c r="Q30" s="505"/>
      <c r="R30" s="309"/>
      <c r="S30" s="269" t="str">
        <f>IFERROR(IF(D30="tonnes/yr", $P30*$E30/($L$20*3.6), $Q30*$E30*3.6/($L$20*3.6)), "Unfilled fields to left")</f>
        <v>Unfilled fields to left</v>
      </c>
      <c r="U30" s="21"/>
    </row>
    <row r="31" spans="2:26" s="14" customFormat="1">
      <c r="B31" s="16"/>
      <c r="C31" s="15"/>
      <c r="D31" s="183"/>
      <c r="E31" s="35"/>
      <c r="F31" s="21"/>
      <c r="G31" s="21"/>
      <c r="H31" s="20"/>
      <c r="I31" s="36"/>
      <c r="J31" s="307"/>
      <c r="K31" s="309"/>
      <c r="L31" s="247">
        <f t="shared" si="6"/>
        <v>0</v>
      </c>
      <c r="M31" s="12"/>
      <c r="N31" s="12"/>
      <c r="O31" s="12"/>
      <c r="P31" s="307" t="str">
        <f t="shared" si="8"/>
        <v/>
      </c>
      <c r="Q31" s="505"/>
      <c r="R31" s="309"/>
      <c r="S31" s="269" t="str">
        <f>IFERROR(IF(D31="tonnes/yr", $P31*$E31/($L$20*3.6), $Q31*$E31*3.6/($L$20*3.6)), "Unfilled fields to left")</f>
        <v>Unfilled fields to left</v>
      </c>
      <c r="U31" s="21"/>
    </row>
    <row r="32" spans="2:26">
      <c r="C32" s="17"/>
      <c r="D32" s="17"/>
      <c r="E32" s="144"/>
      <c r="F32" s="17"/>
      <c r="H32" s="18"/>
      <c r="I32" s="18"/>
      <c r="J32" s="40"/>
      <c r="K32" s="40"/>
      <c r="L32" s="40"/>
      <c r="M32" s="12"/>
      <c r="P32" s="40"/>
      <c r="Q32" s="40"/>
      <c r="R32" s="40"/>
      <c r="S32" s="144"/>
      <c r="V32" s="12"/>
    </row>
    <row r="33" spans="2:22">
      <c r="D33" s="17"/>
      <c r="E33" s="144"/>
      <c r="J33" s="39"/>
      <c r="K33" s="39"/>
      <c r="M33" s="12"/>
      <c r="P33" s="39"/>
      <c r="Q33" s="39"/>
      <c r="R33" s="38" t="s">
        <v>641</v>
      </c>
      <c r="S33" s="175">
        <f>SUM(S7:S32)</f>
        <v>0</v>
      </c>
      <c r="V33" s="12"/>
    </row>
    <row r="34" spans="2:22">
      <c r="B34" s="149" t="s">
        <v>94</v>
      </c>
      <c r="C34" s="163"/>
      <c r="D34" s="163"/>
      <c r="E34" s="527"/>
      <c r="I34" s="12"/>
      <c r="J34" s="110"/>
      <c r="K34" s="110"/>
      <c r="L34" s="110"/>
      <c r="M34" s="12"/>
      <c r="P34" s="110"/>
      <c r="Q34" s="110"/>
      <c r="R34" s="110"/>
      <c r="S34" s="110"/>
      <c r="V34" s="12"/>
    </row>
    <row r="35" spans="2:22">
      <c r="B35" s="16" t="s">
        <v>626</v>
      </c>
      <c r="C35" s="15" t="s">
        <v>627</v>
      </c>
      <c r="D35" s="15" t="s">
        <v>628</v>
      </c>
      <c r="E35" s="529"/>
      <c r="G35" s="19"/>
      <c r="H35" s="12"/>
      <c r="I35" s="12"/>
      <c r="J35" s="110"/>
      <c r="K35" s="110"/>
      <c r="L35" s="110"/>
      <c r="M35" s="12"/>
      <c r="P35" s="110"/>
      <c r="Q35" s="110"/>
      <c r="R35" s="110"/>
      <c r="S35" s="12"/>
      <c r="U35" s="25"/>
      <c r="V35" s="12"/>
    </row>
    <row r="36" spans="2:22">
      <c r="B36" s="16" t="s">
        <v>709</v>
      </c>
      <c r="C36" s="15" t="s">
        <v>710</v>
      </c>
      <c r="D36" s="15" t="s">
        <v>222</v>
      </c>
      <c r="E36" s="529"/>
      <c r="H36" s="12"/>
      <c r="I36" s="12"/>
      <c r="J36" s="110"/>
      <c r="K36" s="110"/>
      <c r="L36" s="110"/>
      <c r="M36" s="12"/>
      <c r="P36" s="110"/>
      <c r="Q36" s="110"/>
      <c r="R36" s="110"/>
      <c r="S36" s="12"/>
      <c r="U36" s="25"/>
      <c r="V36" s="12"/>
    </row>
    <row r="37" spans="2:22">
      <c r="B37" s="16"/>
      <c r="C37" s="15"/>
      <c r="D37" s="15"/>
      <c r="E37" s="535"/>
      <c r="J37" s="39"/>
      <c r="K37" s="39"/>
      <c r="P37" s="39"/>
      <c r="Q37" s="39"/>
      <c r="R37" s="39"/>
      <c r="S37" s="110"/>
      <c r="U37" s="25"/>
    </row>
    <row r="38" spans="2:22">
      <c r="B38" s="16"/>
      <c r="C38" s="15"/>
      <c r="D38" s="15"/>
      <c r="E38" s="535"/>
      <c r="J38" s="39"/>
      <c r="K38" s="39"/>
      <c r="P38" s="39"/>
      <c r="Q38" s="39"/>
      <c r="R38" s="39"/>
      <c r="S38" s="110"/>
      <c r="U38" s="25"/>
    </row>
    <row r="39" spans="2:22">
      <c r="E39" s="110"/>
      <c r="J39" s="39"/>
      <c r="K39" s="39"/>
      <c r="P39" s="39"/>
      <c r="Q39" s="39"/>
      <c r="R39" s="39"/>
      <c r="S39" s="110"/>
    </row>
    <row r="40" spans="2:22">
      <c r="E40" s="110"/>
      <c r="J40" s="39"/>
      <c r="K40" s="39"/>
      <c r="P40" s="39"/>
      <c r="Q40" s="39"/>
      <c r="R40" s="39"/>
      <c r="S40" s="110"/>
    </row>
    <row r="41" spans="2:22">
      <c r="E41" s="110"/>
      <c r="J41" s="39"/>
      <c r="K41" s="39"/>
      <c r="P41" s="39"/>
      <c r="Q41" s="39"/>
      <c r="R41" s="39"/>
      <c r="S41" s="110"/>
    </row>
    <row r="42" spans="2:22">
      <c r="E42" s="110"/>
      <c r="J42" s="39"/>
      <c r="K42" s="39"/>
      <c r="P42" s="39"/>
      <c r="Q42" s="39"/>
      <c r="R42" s="39"/>
      <c r="S42" s="110"/>
    </row>
    <row r="43" spans="2:22">
      <c r="E43" s="110"/>
      <c r="J43" s="39"/>
      <c r="K43" s="39"/>
      <c r="P43" s="39"/>
      <c r="Q43" s="39"/>
      <c r="R43" s="39"/>
      <c r="S43" s="110"/>
    </row>
    <row r="44" spans="2:22">
      <c r="E44" s="110"/>
      <c r="J44" s="39"/>
      <c r="K44" s="39"/>
      <c r="P44" s="39"/>
      <c r="Q44" s="39"/>
      <c r="R44" s="39"/>
      <c r="S44" s="110"/>
    </row>
    <row r="45" spans="2:22">
      <c r="E45" s="110"/>
      <c r="J45" s="39"/>
      <c r="K45" s="39"/>
      <c r="P45" s="39"/>
      <c r="Q45" s="39"/>
      <c r="R45" s="39"/>
      <c r="S45" s="110"/>
    </row>
    <row r="46" spans="2:22">
      <c r="E46" s="110"/>
      <c r="J46" s="39"/>
      <c r="K46" s="39"/>
      <c r="P46" s="39"/>
      <c r="Q46" s="39"/>
      <c r="R46" s="39"/>
      <c r="S46" s="110"/>
    </row>
    <row r="47" spans="2:22">
      <c r="E47" s="110"/>
      <c r="J47" s="39"/>
      <c r="K47" s="39"/>
      <c r="P47" s="39"/>
      <c r="Q47" s="39"/>
      <c r="R47" s="39"/>
      <c r="S47" s="110"/>
    </row>
    <row r="48" spans="2:22">
      <c r="E48" s="110"/>
      <c r="J48" s="39"/>
      <c r="K48" s="39"/>
      <c r="P48" s="39"/>
      <c r="Q48" s="39"/>
      <c r="R48" s="39"/>
      <c r="S48" s="110"/>
    </row>
    <row r="49" spans="5:19">
      <c r="E49" s="110"/>
      <c r="J49" s="39"/>
      <c r="K49" s="39"/>
      <c r="P49" s="39"/>
      <c r="Q49" s="39"/>
      <c r="R49" s="39"/>
      <c r="S49" s="110"/>
    </row>
    <row r="50" spans="5:19">
      <c r="E50" s="110"/>
      <c r="J50" s="39"/>
      <c r="K50" s="39"/>
      <c r="P50" s="39"/>
      <c r="Q50" s="39"/>
      <c r="R50" s="39"/>
      <c r="S50" s="110"/>
    </row>
    <row r="51" spans="5:19">
      <c r="E51" s="110"/>
      <c r="J51" s="39"/>
      <c r="K51" s="39"/>
      <c r="P51" s="39"/>
      <c r="Q51" s="39"/>
      <c r="R51" s="39"/>
      <c r="S51" s="110"/>
    </row>
    <row r="52" spans="5:19">
      <c r="E52" s="110"/>
      <c r="J52" s="39"/>
      <c r="K52" s="39"/>
      <c r="P52" s="39"/>
      <c r="Q52" s="39"/>
      <c r="R52" s="39"/>
      <c r="S52" s="110"/>
    </row>
    <row r="53" spans="5:19">
      <c r="E53" s="110"/>
      <c r="J53" s="39"/>
      <c r="K53" s="39"/>
      <c r="P53" s="39"/>
      <c r="Q53" s="39"/>
      <c r="R53" s="39"/>
      <c r="S53" s="110"/>
    </row>
    <row r="54" spans="5:19">
      <c r="E54" s="110"/>
      <c r="J54" s="39"/>
      <c r="K54" s="39"/>
      <c r="P54" s="39"/>
      <c r="Q54" s="39"/>
      <c r="R54" s="39"/>
      <c r="S54" s="110"/>
    </row>
    <row r="55" spans="5:19">
      <c r="E55" s="110"/>
      <c r="J55" s="39"/>
      <c r="K55" s="39"/>
      <c r="P55" s="39"/>
      <c r="Q55" s="39"/>
      <c r="R55" s="39"/>
      <c r="S55" s="110"/>
    </row>
    <row r="56" spans="5:19">
      <c r="E56" s="110"/>
      <c r="J56" s="39"/>
      <c r="K56" s="39"/>
      <c r="P56" s="39"/>
      <c r="Q56" s="39"/>
      <c r="R56" s="39"/>
      <c r="S56" s="110"/>
    </row>
    <row r="57" spans="5:19">
      <c r="E57" s="110"/>
      <c r="J57" s="39"/>
      <c r="K57" s="39"/>
      <c r="P57" s="39"/>
      <c r="Q57" s="39"/>
      <c r="R57" s="39"/>
      <c r="S57" s="110"/>
    </row>
    <row r="58" spans="5:19">
      <c r="E58" s="110"/>
      <c r="J58" s="39"/>
      <c r="K58" s="39"/>
      <c r="P58" s="39"/>
      <c r="Q58" s="39"/>
      <c r="R58" s="39"/>
      <c r="S58" s="110"/>
    </row>
    <row r="59" spans="5:19">
      <c r="E59" s="110"/>
      <c r="J59" s="39"/>
      <c r="K59" s="39"/>
      <c r="P59" s="39"/>
      <c r="Q59" s="39"/>
      <c r="R59" s="39"/>
      <c r="S59" s="110"/>
    </row>
    <row r="60" spans="5:19">
      <c r="E60" s="110"/>
      <c r="J60" s="39"/>
      <c r="K60" s="39"/>
      <c r="P60" s="39"/>
      <c r="Q60" s="39"/>
      <c r="R60" s="39"/>
      <c r="S60" s="110"/>
    </row>
    <row r="61" spans="5:19">
      <c r="E61" s="110"/>
      <c r="J61" s="39"/>
      <c r="K61" s="39"/>
      <c r="P61" s="39"/>
      <c r="Q61" s="39"/>
      <c r="R61" s="39"/>
      <c r="S61" s="110"/>
    </row>
    <row r="62" spans="5:19">
      <c r="E62" s="110"/>
      <c r="J62" s="39"/>
      <c r="K62" s="39"/>
      <c r="P62" s="39"/>
      <c r="Q62" s="39"/>
      <c r="R62" s="39"/>
      <c r="S62" s="110"/>
    </row>
    <row r="63" spans="5:19">
      <c r="E63" s="110"/>
      <c r="J63" s="39"/>
      <c r="K63" s="39"/>
      <c r="P63" s="39"/>
      <c r="Q63" s="39"/>
      <c r="R63" s="39"/>
      <c r="S63" s="110"/>
    </row>
    <row r="64" spans="5:19">
      <c r="E64" s="110"/>
      <c r="J64" s="39"/>
      <c r="K64" s="39"/>
      <c r="P64" s="39"/>
      <c r="Q64" s="39"/>
      <c r="R64" s="39"/>
      <c r="S64" s="110"/>
    </row>
    <row r="65" spans="5:19">
      <c r="E65" s="110"/>
      <c r="J65" s="39"/>
      <c r="K65" s="39"/>
      <c r="P65" s="39"/>
      <c r="Q65" s="39"/>
      <c r="R65" s="39"/>
      <c r="S65" s="110"/>
    </row>
    <row r="66" spans="5:19">
      <c r="E66" s="110"/>
      <c r="J66" s="39"/>
      <c r="K66" s="39"/>
      <c r="P66" s="39"/>
      <c r="Q66" s="39"/>
      <c r="R66" s="39"/>
      <c r="S66" s="110"/>
    </row>
    <row r="67" spans="5:19">
      <c r="E67" s="110"/>
      <c r="J67" s="39"/>
      <c r="K67" s="39"/>
      <c r="P67" s="39"/>
      <c r="Q67" s="39"/>
      <c r="R67" s="39"/>
      <c r="S67" s="110"/>
    </row>
    <row r="68" spans="5:19">
      <c r="E68" s="110"/>
      <c r="J68" s="39"/>
      <c r="K68" s="39"/>
      <c r="P68" s="39"/>
      <c r="Q68" s="39"/>
      <c r="R68" s="39"/>
      <c r="S68" s="110"/>
    </row>
    <row r="69" spans="5:19">
      <c r="E69" s="110"/>
      <c r="J69" s="39"/>
      <c r="K69" s="39"/>
      <c r="P69" s="39"/>
      <c r="Q69" s="39"/>
      <c r="R69" s="39"/>
      <c r="S69" s="110"/>
    </row>
    <row r="70" spans="5:19">
      <c r="E70" s="110"/>
      <c r="J70" s="39"/>
      <c r="K70" s="39"/>
      <c r="P70" s="39"/>
      <c r="Q70" s="39"/>
      <c r="R70" s="39"/>
      <c r="S70" s="110"/>
    </row>
    <row r="71" spans="5:19">
      <c r="E71" s="110"/>
      <c r="J71" s="39"/>
      <c r="K71" s="39"/>
      <c r="P71" s="39"/>
      <c r="Q71" s="39"/>
      <c r="R71" s="39"/>
      <c r="S71" s="110"/>
    </row>
    <row r="72" spans="5:19">
      <c r="E72" s="110"/>
      <c r="J72" s="39"/>
      <c r="K72" s="39"/>
      <c r="P72" s="39"/>
      <c r="Q72" s="39"/>
      <c r="R72" s="39"/>
      <c r="S72" s="110"/>
    </row>
    <row r="73" spans="5:19">
      <c r="E73" s="110"/>
      <c r="J73" s="39"/>
      <c r="K73" s="39"/>
      <c r="P73" s="39"/>
      <c r="Q73" s="39"/>
      <c r="R73" s="39"/>
      <c r="S73" s="110"/>
    </row>
    <row r="74" spans="5:19">
      <c r="E74" s="110"/>
      <c r="J74" s="39"/>
      <c r="K74" s="39"/>
      <c r="P74" s="39"/>
      <c r="Q74" s="39"/>
      <c r="R74" s="39"/>
    </row>
    <row r="75" spans="5:19">
      <c r="E75" s="110"/>
      <c r="J75" s="39"/>
      <c r="K75" s="39"/>
      <c r="P75" s="39"/>
      <c r="Q75" s="39"/>
      <c r="R75" s="39"/>
    </row>
    <row r="76" spans="5:19">
      <c r="E76" s="110"/>
      <c r="J76" s="39"/>
      <c r="K76" s="39"/>
      <c r="P76" s="39"/>
      <c r="Q76" s="39"/>
      <c r="R76" s="39"/>
    </row>
    <row r="77" spans="5:19">
      <c r="E77" s="110"/>
      <c r="J77" s="39"/>
      <c r="K77" s="39"/>
      <c r="P77" s="39"/>
      <c r="Q77" s="39"/>
      <c r="R77" s="39"/>
    </row>
    <row r="78" spans="5:19">
      <c r="E78" s="110"/>
      <c r="J78" s="39"/>
      <c r="K78" s="39"/>
      <c r="P78" s="39"/>
      <c r="Q78" s="39"/>
      <c r="R78" s="39"/>
    </row>
    <row r="79" spans="5:19">
      <c r="E79" s="110"/>
      <c r="J79" s="39"/>
      <c r="K79" s="39"/>
      <c r="P79" s="39"/>
      <c r="Q79" s="39"/>
      <c r="R79" s="39"/>
    </row>
    <row r="80" spans="5:19">
      <c r="E80" s="110"/>
      <c r="J80" s="39"/>
      <c r="K80" s="39"/>
      <c r="P80" s="39"/>
      <c r="Q80" s="39"/>
      <c r="R80" s="39"/>
    </row>
    <row r="81" spans="5:18">
      <c r="E81" s="110"/>
      <c r="J81" s="39"/>
      <c r="K81" s="39"/>
      <c r="P81" s="39"/>
      <c r="Q81" s="39"/>
      <c r="R81" s="39"/>
    </row>
    <row r="82" spans="5:18">
      <c r="E82" s="110"/>
      <c r="J82" s="39"/>
      <c r="K82" s="39"/>
      <c r="P82" s="39"/>
      <c r="Q82" s="39"/>
      <c r="R82" s="39"/>
    </row>
    <row r="83" spans="5:18">
      <c r="E83" s="110"/>
      <c r="J83" s="39"/>
      <c r="K83" s="39"/>
      <c r="P83" s="39"/>
      <c r="Q83" s="39"/>
      <c r="R83" s="39"/>
    </row>
    <row r="84" spans="5:18">
      <c r="E84" s="110"/>
      <c r="J84" s="39"/>
      <c r="K84" s="39"/>
      <c r="P84" s="39"/>
      <c r="Q84" s="39"/>
      <c r="R84" s="39"/>
    </row>
    <row r="85" spans="5:18">
      <c r="E85" s="110"/>
      <c r="J85" s="39"/>
      <c r="K85" s="39"/>
      <c r="P85" s="39"/>
      <c r="Q85" s="39"/>
      <c r="R85" s="39"/>
    </row>
    <row r="86" spans="5:18">
      <c r="E86" s="110"/>
      <c r="J86" s="39"/>
      <c r="K86" s="39"/>
      <c r="P86" s="39"/>
      <c r="Q86" s="39"/>
      <c r="R86" s="39"/>
    </row>
    <row r="87" spans="5:18">
      <c r="E87" s="110"/>
      <c r="J87" s="39"/>
      <c r="K87" s="39"/>
      <c r="P87" s="39"/>
      <c r="Q87" s="39"/>
      <c r="R87" s="39"/>
    </row>
    <row r="88" spans="5:18">
      <c r="E88" s="110"/>
      <c r="J88" s="39"/>
      <c r="K88" s="39"/>
      <c r="P88" s="39"/>
      <c r="Q88" s="39"/>
      <c r="R88" s="39"/>
    </row>
    <row r="89" spans="5:18">
      <c r="E89" s="110"/>
      <c r="J89" s="39"/>
      <c r="K89" s="39"/>
      <c r="P89" s="39"/>
      <c r="Q89" s="39"/>
      <c r="R89" s="39"/>
    </row>
    <row r="90" spans="5:18">
      <c r="E90" s="110"/>
      <c r="J90" s="39"/>
      <c r="K90" s="39"/>
      <c r="P90" s="39"/>
      <c r="Q90" s="39"/>
      <c r="R90" s="39"/>
    </row>
    <row r="91" spans="5:18">
      <c r="E91" s="110"/>
      <c r="J91" s="39"/>
      <c r="K91" s="39"/>
      <c r="P91" s="39"/>
      <c r="Q91" s="39"/>
      <c r="R91" s="39"/>
    </row>
    <row r="92" spans="5:18">
      <c r="E92" s="110"/>
      <c r="J92" s="39"/>
      <c r="K92" s="39"/>
      <c r="P92" s="39"/>
      <c r="Q92" s="39"/>
      <c r="R92" s="39"/>
    </row>
    <row r="93" spans="5:18">
      <c r="E93" s="110"/>
      <c r="J93" s="39"/>
      <c r="K93" s="39"/>
      <c r="P93" s="39"/>
      <c r="Q93" s="39"/>
      <c r="R93" s="39"/>
    </row>
    <row r="94" spans="5:18">
      <c r="E94" s="110"/>
      <c r="J94" s="39"/>
      <c r="K94" s="39"/>
      <c r="P94" s="39"/>
      <c r="Q94" s="39"/>
      <c r="R94" s="39"/>
    </row>
    <row r="95" spans="5:18">
      <c r="E95" s="110"/>
      <c r="J95" s="39"/>
      <c r="K95" s="39"/>
      <c r="P95" s="39"/>
      <c r="Q95" s="39"/>
      <c r="R95" s="39"/>
    </row>
    <row r="96" spans="5:18">
      <c r="E96" s="110"/>
      <c r="J96" s="39"/>
      <c r="K96" s="39"/>
      <c r="P96" s="39"/>
      <c r="Q96" s="39"/>
      <c r="R96" s="39"/>
    </row>
    <row r="97" spans="5:18">
      <c r="E97" s="110"/>
      <c r="J97" s="39"/>
      <c r="K97" s="39"/>
      <c r="P97" s="39"/>
      <c r="Q97" s="39"/>
      <c r="R97" s="39"/>
    </row>
    <row r="98" spans="5:18">
      <c r="E98" s="110"/>
      <c r="J98" s="39"/>
      <c r="K98" s="39"/>
      <c r="P98" s="39"/>
      <c r="Q98" s="39"/>
      <c r="R98" s="39"/>
    </row>
    <row r="99" spans="5:18">
      <c r="E99" s="110"/>
      <c r="J99" s="39"/>
      <c r="K99" s="39"/>
      <c r="P99" s="39"/>
      <c r="Q99" s="39"/>
      <c r="R99" s="39"/>
    </row>
    <row r="100" spans="5:18">
      <c r="E100" s="110"/>
      <c r="J100" s="39"/>
      <c r="K100" s="39"/>
      <c r="P100" s="39"/>
      <c r="Q100" s="39"/>
      <c r="R100" s="39"/>
    </row>
    <row r="101" spans="5:18">
      <c r="E101" s="110"/>
      <c r="J101" s="39"/>
      <c r="K101" s="39"/>
      <c r="P101" s="39"/>
      <c r="Q101" s="39"/>
      <c r="R101" s="39"/>
    </row>
    <row r="102" spans="5:18">
      <c r="E102" s="110"/>
      <c r="J102" s="39"/>
      <c r="K102" s="39"/>
      <c r="P102" s="39"/>
      <c r="Q102" s="39"/>
      <c r="R102" s="39"/>
    </row>
    <row r="103" spans="5:18">
      <c r="E103" s="110"/>
      <c r="J103" s="39"/>
      <c r="K103" s="39"/>
      <c r="P103" s="39"/>
      <c r="Q103" s="39"/>
      <c r="R103" s="39"/>
    </row>
    <row r="104" spans="5:18">
      <c r="E104" s="110"/>
      <c r="J104" s="39"/>
      <c r="K104" s="39"/>
      <c r="P104" s="39"/>
      <c r="Q104" s="39"/>
      <c r="R104" s="39"/>
    </row>
    <row r="105" spans="5:18">
      <c r="E105" s="110"/>
      <c r="J105" s="39"/>
      <c r="K105" s="39"/>
      <c r="P105" s="39"/>
      <c r="Q105" s="39"/>
      <c r="R105" s="39"/>
    </row>
    <row r="106" spans="5:18">
      <c r="E106" s="110"/>
      <c r="J106" s="39"/>
      <c r="K106" s="39"/>
      <c r="P106" s="39"/>
      <c r="Q106" s="39"/>
      <c r="R106" s="39"/>
    </row>
    <row r="107" spans="5:18">
      <c r="E107" s="110"/>
      <c r="J107" s="39"/>
      <c r="K107" s="39"/>
      <c r="P107" s="39"/>
      <c r="Q107" s="39"/>
      <c r="R107" s="39"/>
    </row>
    <row r="108" spans="5:18">
      <c r="E108" s="110"/>
      <c r="J108" s="39"/>
      <c r="K108" s="39"/>
      <c r="P108" s="39"/>
      <c r="Q108" s="39"/>
      <c r="R108" s="39"/>
    </row>
    <row r="109" spans="5:18">
      <c r="E109" s="110"/>
      <c r="J109" s="39"/>
      <c r="K109" s="39"/>
      <c r="P109" s="39"/>
      <c r="Q109" s="39"/>
      <c r="R109" s="39"/>
    </row>
    <row r="110" spans="5:18">
      <c r="E110" s="110"/>
      <c r="J110" s="39"/>
      <c r="K110" s="39"/>
      <c r="P110" s="39"/>
      <c r="Q110" s="39"/>
      <c r="R110" s="39"/>
    </row>
    <row r="111" spans="5:18">
      <c r="E111" s="110"/>
      <c r="J111" s="39"/>
      <c r="K111" s="39"/>
      <c r="P111" s="39"/>
      <c r="Q111" s="39"/>
      <c r="R111" s="39"/>
    </row>
    <row r="112" spans="5:18">
      <c r="E112" s="110"/>
      <c r="J112" s="39"/>
      <c r="K112" s="39"/>
      <c r="P112" s="39"/>
      <c r="Q112" s="39"/>
      <c r="R112" s="39"/>
    </row>
    <row r="113" spans="5:18">
      <c r="E113" s="110"/>
      <c r="J113" s="39"/>
      <c r="K113" s="39"/>
      <c r="P113" s="39"/>
      <c r="Q113" s="39"/>
      <c r="R113" s="39"/>
    </row>
    <row r="114" spans="5:18">
      <c r="E114" s="110"/>
      <c r="J114" s="39"/>
      <c r="K114" s="39"/>
      <c r="P114" s="39"/>
      <c r="Q114" s="39"/>
      <c r="R114" s="39"/>
    </row>
    <row r="115" spans="5:18">
      <c r="E115" s="110"/>
      <c r="J115" s="39"/>
      <c r="K115" s="39"/>
      <c r="P115" s="39"/>
      <c r="Q115" s="39"/>
      <c r="R115" s="39"/>
    </row>
    <row r="116" spans="5:18">
      <c r="E116" s="110"/>
      <c r="J116" s="39"/>
      <c r="K116" s="39"/>
      <c r="P116" s="39"/>
      <c r="Q116" s="39"/>
      <c r="R116" s="39"/>
    </row>
    <row r="117" spans="5:18">
      <c r="E117" s="110"/>
      <c r="J117" s="39"/>
      <c r="K117" s="39"/>
      <c r="P117" s="39"/>
      <c r="Q117" s="39"/>
      <c r="R117" s="39"/>
    </row>
    <row r="118" spans="5:18">
      <c r="E118" s="110"/>
      <c r="J118" s="39"/>
      <c r="K118" s="39"/>
      <c r="P118" s="39"/>
      <c r="Q118" s="39"/>
      <c r="R118" s="39"/>
    </row>
    <row r="119" spans="5:18">
      <c r="E119" s="110"/>
      <c r="J119" s="39"/>
      <c r="K119" s="39"/>
      <c r="P119" s="39"/>
      <c r="Q119" s="39"/>
      <c r="R119" s="39"/>
    </row>
    <row r="120" spans="5:18">
      <c r="E120" s="110"/>
      <c r="J120" s="39"/>
      <c r="K120" s="39"/>
      <c r="P120" s="39"/>
      <c r="Q120" s="39"/>
      <c r="R120" s="39"/>
    </row>
    <row r="121" spans="5:18">
      <c r="E121" s="110"/>
      <c r="J121" s="39"/>
      <c r="K121" s="39"/>
      <c r="P121" s="39"/>
      <c r="Q121" s="39"/>
      <c r="R121" s="39"/>
    </row>
    <row r="122" spans="5:18">
      <c r="E122" s="110"/>
      <c r="P122" s="39"/>
      <c r="Q122" s="39"/>
      <c r="R122" s="39"/>
    </row>
    <row r="123" spans="5:18">
      <c r="E123" s="110"/>
      <c r="P123" s="39"/>
      <c r="Q123" s="39"/>
      <c r="R123" s="39"/>
    </row>
    <row r="124" spans="5:18">
      <c r="E124" s="110"/>
      <c r="P124" s="39"/>
      <c r="Q124" s="39"/>
      <c r="R124" s="39"/>
    </row>
    <row r="125" spans="5:18">
      <c r="E125" s="110"/>
      <c r="P125" s="39"/>
      <c r="Q125" s="39"/>
      <c r="R125" s="39"/>
    </row>
    <row r="126" spans="5:18">
      <c r="E126" s="110"/>
      <c r="P126" s="39"/>
      <c r="Q126" s="39"/>
      <c r="R126" s="39"/>
    </row>
    <row r="127" spans="5:18">
      <c r="E127" s="110"/>
      <c r="P127" s="39"/>
      <c r="Q127" s="39"/>
      <c r="R127" s="39"/>
    </row>
    <row r="128" spans="5:18">
      <c r="E128" s="110"/>
      <c r="P128" s="39"/>
      <c r="Q128" s="39"/>
      <c r="R128" s="39"/>
    </row>
    <row r="129" spans="5:18">
      <c r="E129" s="110"/>
      <c r="P129" s="39"/>
      <c r="Q129" s="39"/>
      <c r="R129" s="39"/>
    </row>
    <row r="130" spans="5:18">
      <c r="E130" s="110"/>
      <c r="P130" s="39"/>
      <c r="Q130" s="39"/>
      <c r="R130" s="39"/>
    </row>
    <row r="131" spans="5:18">
      <c r="E131" s="110"/>
      <c r="P131" s="39"/>
      <c r="Q131" s="39"/>
      <c r="R131" s="39"/>
    </row>
    <row r="132" spans="5:18">
      <c r="E132" s="110"/>
      <c r="P132" s="39"/>
      <c r="Q132" s="39"/>
      <c r="R132" s="39"/>
    </row>
    <row r="133" spans="5:18">
      <c r="E133" s="110"/>
      <c r="P133" s="39"/>
      <c r="Q133" s="39"/>
      <c r="R133" s="39"/>
    </row>
    <row r="134" spans="5:18">
      <c r="E134" s="110"/>
      <c r="P134" s="39"/>
      <c r="Q134" s="39"/>
      <c r="R134" s="39"/>
    </row>
    <row r="135" spans="5:18">
      <c r="E135" s="110"/>
      <c r="P135" s="39"/>
      <c r="Q135" s="39"/>
      <c r="R135" s="39"/>
    </row>
    <row r="136" spans="5:18">
      <c r="E136" s="110"/>
      <c r="P136" s="39"/>
      <c r="Q136" s="39"/>
      <c r="R136" s="39"/>
    </row>
    <row r="137" spans="5:18">
      <c r="E137" s="110"/>
      <c r="P137" s="39"/>
      <c r="Q137" s="39"/>
      <c r="R137" s="39"/>
    </row>
    <row r="138" spans="5:18">
      <c r="E138" s="110"/>
      <c r="P138" s="39"/>
      <c r="Q138" s="39"/>
      <c r="R138" s="39"/>
    </row>
    <row r="139" spans="5:18">
      <c r="E139" s="110"/>
      <c r="P139" s="39"/>
      <c r="Q139" s="39"/>
      <c r="R139" s="39"/>
    </row>
    <row r="140" spans="5:18">
      <c r="E140" s="110"/>
      <c r="P140" s="39"/>
      <c r="Q140" s="39"/>
      <c r="R140" s="39"/>
    </row>
    <row r="141" spans="5:18">
      <c r="E141" s="110"/>
      <c r="P141" s="39"/>
      <c r="Q141" s="39"/>
      <c r="R141" s="39"/>
    </row>
    <row r="142" spans="5:18">
      <c r="E142" s="110"/>
      <c r="P142" s="39"/>
      <c r="Q142" s="39"/>
      <c r="R142" s="39"/>
    </row>
    <row r="143" spans="5:18">
      <c r="E143" s="110"/>
      <c r="P143" s="39"/>
      <c r="Q143" s="39"/>
      <c r="R143" s="39"/>
    </row>
    <row r="144" spans="5:18">
      <c r="E144" s="110"/>
      <c r="P144" s="39"/>
      <c r="Q144" s="39"/>
      <c r="R144" s="39"/>
    </row>
    <row r="145" spans="5:18">
      <c r="E145" s="110"/>
      <c r="P145" s="39"/>
      <c r="Q145" s="39"/>
      <c r="R145" s="39"/>
    </row>
    <row r="146" spans="5:18">
      <c r="E146" s="110"/>
      <c r="P146" s="39"/>
      <c r="Q146" s="39"/>
      <c r="R146" s="39"/>
    </row>
    <row r="147" spans="5:18">
      <c r="P147" s="39"/>
      <c r="Q147" s="39"/>
      <c r="R147" s="39"/>
    </row>
    <row r="148" spans="5:18">
      <c r="P148" s="39"/>
      <c r="Q148" s="39"/>
      <c r="R148" s="39"/>
    </row>
    <row r="149" spans="5:18">
      <c r="P149" s="39"/>
      <c r="Q149" s="39"/>
      <c r="R149" s="39"/>
    </row>
    <row r="150" spans="5:18">
      <c r="P150" s="39"/>
      <c r="Q150" s="39"/>
      <c r="R150" s="39"/>
    </row>
    <row r="151" spans="5:18">
      <c r="P151" s="39"/>
      <c r="Q151" s="39"/>
      <c r="R151" s="39"/>
    </row>
    <row r="152" spans="5:18">
      <c r="P152" s="39"/>
      <c r="Q152" s="39"/>
      <c r="R152" s="39"/>
    </row>
    <row r="153" spans="5:18">
      <c r="P153" s="39"/>
      <c r="Q153" s="39"/>
      <c r="R153" s="39"/>
    </row>
    <row r="154" spans="5:18">
      <c r="P154" s="39"/>
      <c r="Q154" s="39"/>
      <c r="R154" s="39"/>
    </row>
    <row r="155" spans="5:18">
      <c r="P155" s="39"/>
      <c r="Q155" s="39"/>
      <c r="R155" s="39"/>
    </row>
    <row r="156" spans="5:18">
      <c r="P156" s="39"/>
      <c r="Q156" s="39"/>
      <c r="R156" s="39"/>
    </row>
    <row r="157" spans="5:18">
      <c r="P157" s="39"/>
      <c r="Q157" s="39"/>
      <c r="R157" s="39"/>
    </row>
    <row r="158" spans="5:18">
      <c r="P158" s="39"/>
      <c r="Q158" s="39"/>
      <c r="R158" s="39"/>
    </row>
    <row r="159" spans="5:18">
      <c r="P159" s="39"/>
      <c r="Q159" s="39"/>
      <c r="R159" s="39"/>
    </row>
    <row r="160" spans="5:18">
      <c r="P160" s="39"/>
      <c r="Q160" s="39"/>
      <c r="R160" s="39"/>
    </row>
    <row r="161" spans="16:18">
      <c r="P161" s="39"/>
      <c r="Q161" s="39"/>
      <c r="R161" s="39"/>
    </row>
    <row r="162" spans="16:18">
      <c r="P162" s="39"/>
      <c r="Q162" s="39"/>
      <c r="R162" s="39"/>
    </row>
    <row r="163" spans="16:18">
      <c r="P163" s="39"/>
      <c r="Q163" s="39"/>
      <c r="R163" s="39"/>
    </row>
    <row r="164" spans="16:18">
      <c r="P164" s="39"/>
      <c r="Q164" s="39"/>
      <c r="R164" s="39"/>
    </row>
    <row r="165" spans="16:18">
      <c r="P165" s="39"/>
      <c r="Q165" s="39"/>
      <c r="R165" s="39"/>
    </row>
    <row r="166" spans="16:18">
      <c r="P166" s="39"/>
      <c r="Q166" s="39"/>
      <c r="R166" s="39"/>
    </row>
    <row r="167" spans="16:18">
      <c r="P167" s="39"/>
      <c r="Q167" s="39"/>
      <c r="R167" s="39"/>
    </row>
    <row r="168" spans="16:18">
      <c r="P168" s="39"/>
      <c r="Q168" s="39"/>
      <c r="R168" s="39"/>
    </row>
    <row r="169" spans="16:18">
      <c r="P169" s="39"/>
      <c r="Q169" s="39"/>
      <c r="R169" s="39"/>
    </row>
    <row r="170" spans="16:18">
      <c r="P170" s="39"/>
      <c r="Q170" s="39"/>
      <c r="R170" s="39"/>
    </row>
    <row r="171" spans="16:18">
      <c r="P171" s="39"/>
      <c r="Q171" s="39"/>
      <c r="R171" s="39"/>
    </row>
    <row r="172" spans="16:18">
      <c r="P172" s="39"/>
      <c r="Q172" s="39"/>
      <c r="R172" s="39"/>
    </row>
    <row r="173" spans="16:18">
      <c r="P173" s="39"/>
      <c r="Q173" s="39"/>
      <c r="R173" s="39"/>
    </row>
    <row r="174" spans="16:18">
      <c r="P174" s="39"/>
      <c r="Q174" s="39"/>
      <c r="R174" s="39"/>
    </row>
    <row r="175" spans="16:18">
      <c r="P175" s="39"/>
      <c r="Q175" s="39"/>
      <c r="R175" s="39"/>
    </row>
    <row r="176" spans="16:18">
      <c r="P176" s="39"/>
      <c r="Q176" s="39"/>
      <c r="R176" s="39"/>
    </row>
    <row r="177" spans="16:18">
      <c r="P177" s="39"/>
      <c r="Q177" s="39"/>
      <c r="R177" s="39"/>
    </row>
    <row r="178" spans="16:18">
      <c r="P178" s="39"/>
      <c r="Q178" s="39"/>
      <c r="R178" s="39"/>
    </row>
    <row r="179" spans="16:18">
      <c r="P179" s="39"/>
      <c r="Q179" s="39"/>
      <c r="R179" s="39"/>
    </row>
    <row r="180" spans="16:18">
      <c r="P180" s="39"/>
      <c r="Q180" s="39"/>
      <c r="R180" s="39"/>
    </row>
    <row r="181" spans="16:18">
      <c r="P181" s="39"/>
      <c r="Q181" s="39"/>
      <c r="R181" s="39"/>
    </row>
    <row r="182" spans="16:18">
      <c r="P182" s="39"/>
      <c r="Q182" s="39"/>
      <c r="R182" s="39"/>
    </row>
    <row r="183" spans="16:18">
      <c r="P183" s="39"/>
      <c r="Q183" s="39"/>
      <c r="R183" s="39"/>
    </row>
    <row r="184" spans="16:18">
      <c r="P184" s="39"/>
      <c r="Q184" s="39"/>
      <c r="R184" s="39"/>
    </row>
    <row r="185" spans="16:18">
      <c r="P185" s="39"/>
      <c r="Q185" s="39"/>
      <c r="R185" s="39"/>
    </row>
    <row r="186" spans="16:18">
      <c r="P186" s="39"/>
      <c r="Q186" s="39"/>
      <c r="R186" s="39"/>
    </row>
    <row r="187" spans="16:18">
      <c r="P187" s="39"/>
      <c r="Q187" s="39"/>
      <c r="R187" s="39"/>
    </row>
    <row r="188" spans="16:18">
      <c r="P188" s="39"/>
      <c r="Q188" s="39"/>
      <c r="R188" s="39"/>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pageSetup paperSize="9" orientation="portrait" r:id="rId1"/>
    </customSheetView>
    <customSheetView guid="{D41C0D8C-591E-4B34-99B3-B45BA51A58EC}" showGridLines="0">
      <pane xSplit="3" ySplit="5" topLeftCell="D6" activePane="bottomRight" state="frozen"/>
      <selection pane="bottomRight" activeCell="D1" sqref="D1"/>
      <pageMargins left="0" right="0" top="0" bottom="0" header="0" footer="0"/>
      <pageSetup paperSize="9" orientation="portrait" r:id="rId2"/>
    </customSheetView>
    <customSheetView guid="{8F590910-6C03-4233-9C41-6540BF2DE453}"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55CEC4CC-9BBF-4F2D-BA17-E94F4B26FAC5}"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7735C88E-3A13-4DCF-BB32-4D20A306A8BB}"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27B9E3C6-8189-41E0-896B-02A30393FDC0}"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ED9AC919-98EB-43A3-A158-23FD7D007D30}" showGridLines="0">
      <pane xSplit="3" ySplit="5" topLeftCell="D6" activePane="bottomRight" state="frozen"/>
      <selection pane="bottomRight" activeCell="D1" sqref="D1"/>
      <pageMargins left="0" right="0" top="0" bottom="0" header="0" footer="0"/>
      <pageSetup paperSize="9" orientation="portrait" r:id="rId7"/>
    </customSheetView>
  </customSheetViews>
  <mergeCells count="1">
    <mergeCell ref="I2:K2"/>
  </mergeCells>
  <dataValidations count="2">
    <dataValidation type="list" allowBlank="1" showInputMessage="1" showErrorMessage="1" sqref="D8:D17 D20:D31" xr:uid="{8B3B132F-4A63-40B4-B0F7-099B5B7DA092}">
      <formula1>Flow_units</formula1>
    </dataValidation>
    <dataValidation type="custom" allowBlank="1" showInputMessage="1" showErrorMessage="1" error="Please do not change this formula" prompt="Please do not change this formula" sqref="L1:L1048576 S6:S1048576 T4 M4 S1:S4 N1:O4 N6:O1048576 N5:S5" xr:uid="{B78AC99E-3181-4505-A25C-9FEE3B5D2CDF}">
      <formula1>"Please do not change this formula"</formula1>
    </dataValidation>
  </dataValidations>
  <hyperlinks>
    <hyperlink ref="I2:J2" location="Generic_Conversion!A1" display="Go to the next step of this pathway" xr:uid="{C078FE84-897F-4F27-8268-57C91A80956D}"/>
  </hyperlinks>
  <pageMargins left="0" right="0" top="0" bottom="0" header="0" footer="0"/>
  <pageSetup paperSize="9"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0" id="{44A09B55-E218-4E41-B742-556D201840D1}">
            <xm:f>AND(Initial_questions!$E$21&lt;&gt;"Other",Master_Switch="On")</xm:f>
            <x14:dxf>
              <font>
                <color theme="0"/>
              </font>
              <fill>
                <patternFill>
                  <bgColor theme="0"/>
                </patternFill>
              </fill>
              <border>
                <left/>
                <right/>
                <top/>
                <bottom/>
                <vertical/>
                <horizontal/>
              </border>
            </x14:dxf>
          </x14:cfRule>
          <xm:sqref>A2:XFD100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34E9-A095-457B-8216-9666CBB8C747}">
  <sheetPr codeName="Sheet44">
    <tabColor theme="8" tint="0.59999389629810485"/>
  </sheetPr>
  <dimension ref="B1:Y32"/>
  <sheetViews>
    <sheetView showGridLines="0" zoomScaleNormal="100" workbookViewId="0"/>
  </sheetViews>
  <sheetFormatPr defaultRowHeight="14.4"/>
  <sheetData>
    <row r="1" spans="2:23" ht="15" thickBot="1">
      <c r="B1" s="3" t="s">
        <v>95</v>
      </c>
      <c r="C1" s="3"/>
      <c r="D1" s="3"/>
      <c r="E1" s="3"/>
      <c r="F1" s="3"/>
    </row>
    <row r="2" spans="2:23" ht="15.6" thickTop="1" thickBot="1">
      <c r="B2" s="181" t="s">
        <v>96</v>
      </c>
      <c r="C2" s="181"/>
      <c r="D2" s="181"/>
      <c r="E2" s="181"/>
      <c r="F2" s="181"/>
      <c r="G2" s="181"/>
      <c r="H2" s="181"/>
      <c r="I2" s="181"/>
      <c r="J2" s="181"/>
      <c r="K2" s="181"/>
      <c r="L2" s="181"/>
      <c r="M2" s="181"/>
      <c r="N2" s="181"/>
    </row>
    <row r="4" spans="2:23">
      <c r="B4" s="30" t="s">
        <v>75</v>
      </c>
    </row>
    <row r="5" spans="2:23">
      <c r="B5" s="32"/>
      <c r="C5" s="582" t="s">
        <v>76</v>
      </c>
      <c r="D5" s="582"/>
      <c r="E5" s="582"/>
      <c r="F5" s="582"/>
      <c r="G5" s="582"/>
      <c r="H5" s="592"/>
    </row>
    <row r="6" spans="2:23">
      <c r="B6" s="185"/>
      <c r="C6" s="582" t="s">
        <v>77</v>
      </c>
      <c r="D6" s="582"/>
      <c r="E6" s="582"/>
      <c r="F6" s="582"/>
      <c r="G6" s="582"/>
      <c r="H6" s="592"/>
    </row>
    <row r="7" spans="2:23">
      <c r="B7" s="60"/>
      <c r="C7" s="582" t="s">
        <v>78</v>
      </c>
      <c r="D7" s="582"/>
      <c r="E7" s="582"/>
      <c r="F7" s="582"/>
      <c r="G7" s="582"/>
      <c r="H7" s="592"/>
    </row>
    <row r="9" spans="2:23" ht="15" thickBot="1">
      <c r="B9" s="180" t="s">
        <v>97</v>
      </c>
      <c r="C9" s="180"/>
      <c r="D9" s="180"/>
      <c r="E9" s="180"/>
    </row>
    <row r="10" spans="2:23" ht="15" thickTop="1"/>
    <row r="11" spans="2:23">
      <c r="B11" s="589" t="s">
        <v>98</v>
      </c>
      <c r="C11" s="589"/>
      <c r="D11" s="589"/>
      <c r="E11" s="589"/>
      <c r="F11" s="589"/>
      <c r="G11" s="589"/>
      <c r="H11" s="589"/>
      <c r="I11" s="589"/>
      <c r="J11" s="589"/>
      <c r="K11" s="589"/>
      <c r="L11" s="589"/>
      <c r="M11" s="589"/>
      <c r="N11" s="589"/>
      <c r="O11" s="589"/>
      <c r="P11" s="589"/>
      <c r="Q11" s="589"/>
      <c r="R11" s="589"/>
      <c r="S11" s="589"/>
      <c r="T11" s="589"/>
      <c r="U11" s="589"/>
      <c r="V11" s="589"/>
      <c r="W11" s="589"/>
    </row>
    <row r="26" spans="2:25" ht="65.400000000000006" customHeight="1">
      <c r="B26" s="589" t="s">
        <v>99</v>
      </c>
      <c r="C26" s="589"/>
      <c r="D26" s="589"/>
      <c r="E26" s="589"/>
      <c r="F26" s="589"/>
      <c r="G26" s="589"/>
      <c r="H26" s="589"/>
      <c r="I26" s="589"/>
      <c r="J26" s="589"/>
      <c r="K26" s="589"/>
      <c r="L26" s="589"/>
      <c r="M26" s="589"/>
      <c r="N26" s="589"/>
      <c r="O26" s="589"/>
      <c r="P26" s="589"/>
      <c r="Q26" s="589"/>
      <c r="R26" s="589"/>
      <c r="S26" s="589"/>
      <c r="T26" s="589"/>
      <c r="U26" s="589"/>
      <c r="V26" s="589"/>
      <c r="W26" s="589"/>
    </row>
    <row r="28" spans="2:25">
      <c r="B28" t="s">
        <v>100</v>
      </c>
    </row>
    <row r="29" spans="2:25">
      <c r="B29" s="29" t="s">
        <v>101</v>
      </c>
    </row>
    <row r="30" spans="2:25">
      <c r="B30" t="s">
        <v>102</v>
      </c>
    </row>
    <row r="32" spans="2:25" ht="14.4" customHeight="1">
      <c r="B32" s="464" t="s">
        <v>703</v>
      </c>
      <c r="C32" s="84"/>
      <c r="D32" s="84"/>
      <c r="E32" s="84"/>
      <c r="F32" s="84"/>
      <c r="G32" s="84"/>
      <c r="H32" s="84"/>
      <c r="I32" s="84"/>
      <c r="J32" s="84"/>
      <c r="K32" s="84"/>
      <c r="L32" s="84"/>
      <c r="M32" s="84"/>
      <c r="N32" s="84"/>
      <c r="O32" s="84"/>
      <c r="P32" s="84"/>
      <c r="Q32" s="84"/>
      <c r="R32" s="84"/>
      <c r="S32" s="84"/>
      <c r="T32" s="84"/>
      <c r="U32" s="84"/>
      <c r="V32" s="84"/>
      <c r="W32" s="84"/>
      <c r="X32" s="84"/>
      <c r="Y32" s="84"/>
    </row>
  </sheetData>
  <customSheetViews>
    <customSheetView guid="{43B6AE9C-E429-4506-98F3-C388B54AB8B6}" showGridLines="0">
      <selection activeCell="D1" sqref="D1"/>
      <pageMargins left="0" right="0" top="0" bottom="0" header="0" footer="0"/>
    </customSheetView>
    <customSheetView guid="{D41C0D8C-591E-4B34-99B3-B45BA51A58EC}" showGridLines="0">
      <selection activeCell="D1" sqref="D1"/>
      <pageMargins left="0" right="0" top="0" bottom="0" header="0" footer="0"/>
    </customSheetView>
    <customSheetView guid="{8F590910-6C03-4233-9C41-6540BF2DE453}" showGridLines="0">
      <selection activeCell="D1" sqref="D1"/>
      <pageMargins left="0" right="0" top="0" bottom="0" header="0" footer="0"/>
    </customSheetView>
    <customSheetView guid="{55CEC4CC-9BBF-4F2D-BA17-E94F4B26FAC5}" showGridLines="0">
      <selection activeCell="D1" sqref="D1"/>
      <pageMargins left="0" right="0" top="0" bottom="0" header="0" footer="0"/>
    </customSheetView>
    <customSheetView guid="{7735C88E-3A13-4DCF-BB32-4D20A306A8BB}" showGridLines="0">
      <selection activeCell="D1" sqref="D1"/>
      <pageMargins left="0" right="0" top="0" bottom="0" header="0" footer="0"/>
    </customSheetView>
    <customSheetView guid="{27B9E3C6-8189-41E0-896B-02A30393FDC0}" showGridLines="0">
      <selection activeCell="D1" sqref="D1"/>
      <pageMargins left="0" right="0" top="0" bottom="0" header="0" footer="0"/>
    </customSheetView>
    <customSheetView guid="{ED9AC919-98EB-43A3-A158-23FD7D007D30}" showGridLines="0">
      <selection activeCell="D1" sqref="D1"/>
      <pageMargins left="0" right="0" top="0" bottom="0" header="0" footer="0"/>
    </customSheetView>
  </customSheetViews>
  <mergeCells count="5">
    <mergeCell ref="C6:H6"/>
    <mergeCell ref="C7:H7"/>
    <mergeCell ref="C5:H5"/>
    <mergeCell ref="B26:W26"/>
    <mergeCell ref="B11:W11"/>
  </mergeCells>
  <hyperlinks>
    <hyperlink ref="B29" r:id="rId1" xr:uid="{DACA5FDA-0BE1-4B8F-86C1-B5A03BA8FA31}"/>
  </hyperlinks>
  <pageMargins left="0" right="0" top="0" bottom="0" header="0" footer="0"/>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F23B4-8022-4406-8CDC-3242A5CEC451}">
  <sheetPr codeName="Sheet41">
    <tabColor theme="0" tint="-0.34998626667073579"/>
  </sheetPr>
  <dimension ref="A1:Z242"/>
  <sheetViews>
    <sheetView showGridLines="0" zoomScaleNormal="100" workbookViewId="0">
      <pane xSplit="3" ySplit="5" topLeftCell="D6" activePane="bottomRight" state="frozen"/>
      <selection pane="topRight"/>
      <selection pane="bottomLeft"/>
      <selection pane="bottomRight"/>
    </sheetView>
  </sheetViews>
  <sheetFormatPr defaultColWidth="7.109375" defaultRowHeight="14.4"/>
  <cols>
    <col min="1" max="1" width="4.21875" style="12" customWidth="1"/>
    <col min="2" max="2" width="23.33203125" style="12" customWidth="1"/>
    <col min="3" max="3" width="37.109375" style="12" customWidth="1"/>
    <col min="4" max="4" width="13.33203125" style="12" customWidth="1"/>
    <col min="5" max="5" width="16.44140625" style="480" customWidth="1"/>
    <col min="6" max="6" width="22" style="12" customWidth="1"/>
    <col min="7" max="7" width="18.77734375" style="12" customWidth="1"/>
    <col min="8" max="8" width="13.44140625" style="13" customWidth="1"/>
    <col min="9" max="9" width="14.109375" style="13" customWidth="1"/>
    <col min="10" max="10" width="14" style="13" customWidth="1"/>
    <col min="11" max="11" width="13.88671875" style="13" customWidth="1"/>
    <col min="12" max="12" width="14.33203125" style="39" customWidth="1"/>
    <col min="13" max="13" width="7.44140625" customWidth="1"/>
    <col min="14" max="14" width="18.88671875" style="12" customWidth="1"/>
    <col min="15" max="15" width="17.5546875" style="12" customWidth="1"/>
    <col min="16" max="17" width="20.77734375" style="13" customWidth="1"/>
    <col min="18" max="18" width="22.77734375" style="13" customWidth="1"/>
    <col min="19" max="19" width="20.21875" style="39" customWidth="1"/>
    <col min="20" max="20" width="7.109375" style="12"/>
    <col min="21" max="21" width="26" style="12" customWidth="1"/>
    <col min="23" max="16384" width="7.109375" style="12"/>
  </cols>
  <sheetData>
    <row r="1" spans="1:25" ht="31.8" customHeight="1">
      <c r="A1" s="83" t="str">
        <f>IF(AND(Initial_questions!$E$21&lt;&gt;"Other",Master_Switch="On"),"User should not fill in this sheet, but switch to other non-blank GHG worksheets","")</f>
        <v>User should not fill in this sheet, but switch to other non-blank GHG worksheets</v>
      </c>
      <c r="E1" s="262"/>
    </row>
    <row r="2" spans="1:25" ht="20.399999999999999" customHeight="1">
      <c r="E2" s="262"/>
      <c r="I2" s="669" t="s">
        <v>754</v>
      </c>
      <c r="J2" s="671"/>
      <c r="K2" s="672"/>
    </row>
    <row r="3" spans="1:25" ht="15" customHeight="1">
      <c r="E3" s="262"/>
    </row>
    <row r="4" spans="1:25" ht="15.6" customHeight="1" thickBot="1">
      <c r="B4" s="3"/>
      <c r="C4" s="3"/>
      <c r="D4" s="3"/>
      <c r="E4" s="478"/>
      <c r="F4" s="3"/>
      <c r="G4" s="3"/>
      <c r="H4" s="1"/>
      <c r="I4" s="1"/>
      <c r="J4" s="1"/>
      <c r="K4" s="1"/>
      <c r="L4" s="37"/>
      <c r="M4" s="1"/>
      <c r="N4" s="1"/>
      <c r="O4" s="3"/>
      <c r="P4" s="1"/>
      <c r="Q4" s="1"/>
      <c r="R4" s="1"/>
      <c r="S4" s="37"/>
      <c r="T4" s="37"/>
      <c r="U4" s="37"/>
    </row>
    <row r="5" spans="1:25" ht="94.2" customHeight="1" thickTop="1" thickBot="1">
      <c r="B5" s="11" t="s">
        <v>568</v>
      </c>
      <c r="C5" s="11" t="s">
        <v>569</v>
      </c>
      <c r="D5" s="11" t="s">
        <v>23</v>
      </c>
      <c r="E5" s="481" t="s">
        <v>488</v>
      </c>
      <c r="F5" s="11" t="s">
        <v>753</v>
      </c>
      <c r="G5" s="11" t="s">
        <v>570</v>
      </c>
      <c r="H5" s="11" t="s">
        <v>571</v>
      </c>
      <c r="I5" s="11" t="s">
        <v>572</v>
      </c>
      <c r="J5" s="11" t="s">
        <v>573</v>
      </c>
      <c r="K5" s="11" t="s">
        <v>574</v>
      </c>
      <c r="L5" s="541" t="s">
        <v>575</v>
      </c>
      <c r="M5" s="11"/>
      <c r="N5" s="11" t="s">
        <v>901</v>
      </c>
      <c r="O5" s="11" t="s">
        <v>902</v>
      </c>
      <c r="P5" s="11" t="s">
        <v>750</v>
      </c>
      <c r="Q5" s="11" t="s">
        <v>903</v>
      </c>
      <c r="R5" s="11" t="s">
        <v>576</v>
      </c>
      <c r="S5" s="11" t="s">
        <v>751</v>
      </c>
      <c r="T5" s="11"/>
      <c r="U5" s="11" t="s">
        <v>577</v>
      </c>
    </row>
    <row r="6" spans="1:25" ht="15" thickTop="1">
      <c r="E6" s="262"/>
      <c r="H6" s="19"/>
      <c r="I6" s="19"/>
      <c r="S6" s="110"/>
    </row>
    <row r="7" spans="1:25">
      <c r="B7" s="149" t="s">
        <v>578</v>
      </c>
      <c r="C7" s="149"/>
      <c r="D7" s="149"/>
      <c r="E7" s="332"/>
      <c r="F7" s="149"/>
      <c r="G7" s="149"/>
      <c r="H7" s="149"/>
      <c r="I7" s="149"/>
      <c r="J7" s="149"/>
      <c r="K7" s="149"/>
      <c r="L7" s="308"/>
      <c r="P7" s="18"/>
      <c r="Q7" s="18"/>
      <c r="R7" s="18"/>
      <c r="S7" s="144"/>
      <c r="V7" s="12"/>
    </row>
    <row r="8" spans="1:25">
      <c r="B8" s="16" t="s">
        <v>579</v>
      </c>
      <c r="C8" s="188" t="s">
        <v>693</v>
      </c>
      <c r="D8" s="183" t="s">
        <v>582</v>
      </c>
      <c r="E8" s="35"/>
      <c r="F8" s="24"/>
      <c r="G8" s="21"/>
      <c r="H8" s="21"/>
      <c r="I8" s="21"/>
      <c r="J8" s="307"/>
      <c r="K8" s="313"/>
      <c r="L8" s="247">
        <f t="shared" ref="L8:L17" si="0">IF($D8="MWh/yr (LHV)",$E8,$J8*$E8/Conversion_kWh_to_MJ)</f>
        <v>0</v>
      </c>
      <c r="M8" s="12"/>
      <c r="P8" s="40"/>
      <c r="Q8" s="40"/>
      <c r="R8" s="40"/>
      <c r="S8" s="144"/>
      <c r="U8" s="21"/>
      <c r="V8" s="12"/>
    </row>
    <row r="9" spans="1:25">
      <c r="B9" s="16" t="s">
        <v>581</v>
      </c>
      <c r="C9" s="15" t="s">
        <v>645</v>
      </c>
      <c r="D9" s="15" t="s">
        <v>582</v>
      </c>
      <c r="E9" s="35">
        <f>Hydrogen_flow</f>
        <v>0</v>
      </c>
      <c r="F9" s="21"/>
      <c r="G9" s="21"/>
      <c r="H9" s="21"/>
      <c r="I9" s="21"/>
      <c r="J9" s="35">
        <v>120</v>
      </c>
      <c r="K9" s="313"/>
      <c r="L9" s="247">
        <f t="shared" si="0"/>
        <v>0</v>
      </c>
      <c r="M9" s="12"/>
      <c r="N9" s="249" t="str">
        <f>IFERROR(L9/L8,"")</f>
        <v/>
      </c>
      <c r="O9" s="250" t="str">
        <f>IFERROR(L9/(SUM($L$9:$L$18)),"")</f>
        <v/>
      </c>
      <c r="P9" s="42"/>
      <c r="Q9" s="42"/>
      <c r="R9" s="42"/>
      <c r="S9" s="12"/>
      <c r="U9" s="21"/>
      <c r="V9" s="12"/>
    </row>
    <row r="10" spans="1:25">
      <c r="B10" s="190" t="s">
        <v>583</v>
      </c>
      <c r="C10" s="188" t="s">
        <v>584</v>
      </c>
      <c r="D10" s="183" t="s">
        <v>747</v>
      </c>
      <c r="E10" s="35"/>
      <c r="F10" s="21"/>
      <c r="G10" s="21"/>
      <c r="H10" s="20"/>
      <c r="I10" s="33"/>
      <c r="J10" s="307"/>
      <c r="K10" s="309"/>
      <c r="L10" s="247">
        <f t="shared" si="0"/>
        <v>0</v>
      </c>
      <c r="M10" s="12"/>
      <c r="O10" s="250" t="str">
        <f>IFERROR(L10/(SUM($L$9:$L$18)),"")</f>
        <v/>
      </c>
      <c r="P10" s="42"/>
      <c r="Q10" s="42"/>
      <c r="R10" s="42"/>
      <c r="S10" s="19"/>
      <c r="T10" s="23"/>
      <c r="U10" s="21"/>
      <c r="V10" s="12"/>
    </row>
    <row r="11" spans="1:25">
      <c r="B11" s="190" t="s">
        <v>583</v>
      </c>
      <c r="C11" s="188" t="s">
        <v>646</v>
      </c>
      <c r="D11" s="183" t="s">
        <v>747</v>
      </c>
      <c r="E11" s="35"/>
      <c r="F11" s="21"/>
      <c r="G11" s="21"/>
      <c r="H11" s="20"/>
      <c r="I11" s="20"/>
      <c r="J11" s="309"/>
      <c r="K11" s="309"/>
      <c r="L11" s="247">
        <f t="shared" si="0"/>
        <v>0</v>
      </c>
      <c r="M11" s="12"/>
      <c r="O11" s="250" t="str">
        <f>IFERROR(L11/(SUM($L$9:$L$18)),"")</f>
        <v/>
      </c>
      <c r="P11" s="42"/>
      <c r="Q11" s="42"/>
      <c r="R11" s="42"/>
      <c r="S11" s="14"/>
      <c r="T11" s="23"/>
      <c r="U11" s="21"/>
      <c r="V11" s="12"/>
    </row>
    <row r="12" spans="1:25">
      <c r="B12" s="190" t="s">
        <v>583</v>
      </c>
      <c r="C12" s="188" t="s">
        <v>805</v>
      </c>
      <c r="D12" s="183" t="s">
        <v>582</v>
      </c>
      <c r="E12" s="35"/>
      <c r="F12" s="21"/>
      <c r="G12" s="21"/>
      <c r="H12" s="20"/>
      <c r="I12" s="20"/>
      <c r="J12" s="309"/>
      <c r="K12" s="309"/>
      <c r="L12" s="247">
        <f t="shared" si="0"/>
        <v>0</v>
      </c>
      <c r="M12" s="12"/>
      <c r="O12" s="250" t="str">
        <f>IFERROR(L12/(SUM($L$9:$L$18)),"")</f>
        <v/>
      </c>
      <c r="P12" s="40"/>
      <c r="Q12" s="40"/>
      <c r="R12" s="40"/>
      <c r="S12" s="144"/>
      <c r="U12" s="21"/>
      <c r="V12" s="12"/>
    </row>
    <row r="13" spans="1:25">
      <c r="B13" s="190" t="s">
        <v>583</v>
      </c>
      <c r="C13" s="188" t="s">
        <v>806</v>
      </c>
      <c r="D13" s="183" t="s">
        <v>582</v>
      </c>
      <c r="E13" s="35"/>
      <c r="F13" s="21"/>
      <c r="G13" s="21"/>
      <c r="H13" s="20"/>
      <c r="I13" s="20"/>
      <c r="J13" s="309"/>
      <c r="K13" s="309"/>
      <c r="L13" s="247">
        <f t="shared" si="0"/>
        <v>0</v>
      </c>
      <c r="M13" s="12"/>
      <c r="O13" s="250" t="str">
        <f>IFERROR(L13/(SUM($L$9:$L$18)),"")</f>
        <v/>
      </c>
      <c r="P13" s="40"/>
      <c r="Q13" s="40"/>
      <c r="R13" s="40"/>
      <c r="S13" s="144"/>
      <c r="U13" s="21"/>
      <c r="V13" s="12"/>
    </row>
    <row r="14" spans="1:25" s="14" customFormat="1">
      <c r="B14" s="190" t="s">
        <v>586</v>
      </c>
      <c r="C14" s="188" t="s">
        <v>587</v>
      </c>
      <c r="D14" s="183" t="s">
        <v>582</v>
      </c>
      <c r="E14" s="35"/>
      <c r="F14" s="21"/>
      <c r="G14" s="21"/>
      <c r="H14" s="20"/>
      <c r="I14" s="20"/>
      <c r="J14" s="309"/>
      <c r="K14" s="309"/>
      <c r="L14" s="247">
        <f t="shared" si="0"/>
        <v>0</v>
      </c>
      <c r="M14" s="12"/>
      <c r="N14" s="12"/>
      <c r="O14" s="12"/>
      <c r="P14" s="110"/>
      <c r="Q14" s="110"/>
      <c r="R14" s="110"/>
      <c r="S14" s="12"/>
      <c r="T14" s="23"/>
      <c r="U14" s="21"/>
      <c r="V14" s="23"/>
      <c r="W14" s="42"/>
      <c r="Y14" s="12"/>
    </row>
    <row r="15" spans="1:25" s="14" customFormat="1">
      <c r="B15" s="190" t="s">
        <v>586</v>
      </c>
      <c r="C15" s="188" t="s">
        <v>588</v>
      </c>
      <c r="D15" s="183" t="s">
        <v>582</v>
      </c>
      <c r="E15" s="35"/>
      <c r="F15" s="21"/>
      <c r="G15" s="21"/>
      <c r="H15" s="20"/>
      <c r="I15" s="20"/>
      <c r="J15" s="309"/>
      <c r="K15" s="309"/>
      <c r="L15" s="247">
        <f t="shared" si="0"/>
        <v>0</v>
      </c>
      <c r="M15" s="12"/>
      <c r="N15" s="12"/>
      <c r="O15" s="12"/>
      <c r="P15" s="110"/>
      <c r="Q15" s="110"/>
      <c r="R15" s="110"/>
      <c r="S15" s="12"/>
      <c r="T15" s="23"/>
      <c r="U15" s="21"/>
      <c r="V15" s="23"/>
      <c r="W15" s="42"/>
      <c r="Y15" s="12"/>
    </row>
    <row r="16" spans="1:25" s="14" customFormat="1">
      <c r="B16" s="190" t="s">
        <v>589</v>
      </c>
      <c r="C16" s="188" t="s">
        <v>590</v>
      </c>
      <c r="D16" s="183" t="s">
        <v>582</v>
      </c>
      <c r="E16" s="35"/>
      <c r="F16" s="21"/>
      <c r="G16" s="21"/>
      <c r="H16" s="20"/>
      <c r="I16" s="36"/>
      <c r="J16" s="307"/>
      <c r="K16" s="309"/>
      <c r="L16" s="247">
        <f t="shared" si="0"/>
        <v>0</v>
      </c>
      <c r="M16" s="12"/>
      <c r="N16" s="12"/>
      <c r="O16" s="12"/>
      <c r="P16" s="110"/>
      <c r="Q16" s="110"/>
      <c r="R16" s="110"/>
      <c r="S16" s="12"/>
      <c r="U16" s="21"/>
    </row>
    <row r="17" spans="2:26" s="14" customFormat="1">
      <c r="B17" s="190" t="s">
        <v>589</v>
      </c>
      <c r="C17" s="188" t="s">
        <v>591</v>
      </c>
      <c r="D17" s="183" t="s">
        <v>582</v>
      </c>
      <c r="E17" s="35"/>
      <c r="F17" s="21"/>
      <c r="G17" s="21"/>
      <c r="H17" s="20"/>
      <c r="I17" s="36"/>
      <c r="J17" s="307"/>
      <c r="K17" s="309"/>
      <c r="L17" s="247">
        <f t="shared" si="0"/>
        <v>0</v>
      </c>
      <c r="M17" s="12"/>
      <c r="N17" s="12"/>
      <c r="O17" s="12"/>
      <c r="P17" s="110"/>
      <c r="Q17" s="110"/>
      <c r="R17" s="110"/>
      <c r="S17" s="12"/>
      <c r="U17" s="21"/>
    </row>
    <row r="18" spans="2:26">
      <c r="B18" s="71"/>
      <c r="C18" s="72"/>
      <c r="D18" s="72"/>
      <c r="E18" s="531"/>
      <c r="F18" s="79"/>
      <c r="G18" s="82"/>
      <c r="H18" s="74"/>
      <c r="I18" s="74"/>
      <c r="J18" s="78"/>
      <c r="K18" s="76"/>
      <c r="L18" s="76"/>
      <c r="M18" s="12"/>
      <c r="P18" s="40"/>
      <c r="Q18" s="40"/>
      <c r="R18" s="40"/>
      <c r="S18" s="144"/>
      <c r="U18" s="79"/>
      <c r="V18" s="12"/>
    </row>
    <row r="19" spans="2:26">
      <c r="B19" s="149" t="s">
        <v>890</v>
      </c>
      <c r="C19" s="150"/>
      <c r="D19" s="150"/>
      <c r="E19" s="151"/>
      <c r="F19" s="152"/>
      <c r="G19" s="153"/>
      <c r="H19" s="154"/>
      <c r="I19" s="154"/>
      <c r="J19" s="151"/>
      <c r="K19" s="520"/>
      <c r="L19" s="519"/>
      <c r="M19" s="155"/>
      <c r="N19" s="156"/>
      <c r="O19" s="156"/>
      <c r="P19" s="508" t="s">
        <v>865</v>
      </c>
      <c r="Q19" s="508" t="s">
        <v>865</v>
      </c>
      <c r="R19" s="508"/>
      <c r="S19" s="175">
        <f>SUM(S20:S29)</f>
        <v>0</v>
      </c>
      <c r="V19" s="12"/>
    </row>
    <row r="20" spans="2:26">
      <c r="B20" s="190" t="s">
        <v>592</v>
      </c>
      <c r="C20" s="188" t="s">
        <v>694</v>
      </c>
      <c r="D20" s="183" t="s">
        <v>747</v>
      </c>
      <c r="E20" s="35"/>
      <c r="F20" s="24"/>
      <c r="G20" s="21"/>
      <c r="H20" s="21"/>
      <c r="I20" s="21"/>
      <c r="J20" s="310"/>
      <c r="K20" s="313"/>
      <c r="L20" s="247">
        <f t="shared" ref="L20:L29" si="1">IF($D20="MWh/yr (LHV)",$E20,$J20*$E20/Conversion_kWh_to_MJ)</f>
        <v>0</v>
      </c>
      <c r="M20" s="12"/>
      <c r="P20" s="307" t="str">
        <f t="shared" ref="P20:P25" si="2">IF(B20="", "", IF(D20="MWh/yr (LHV)", "Use column to right", "Enter data here"))</f>
        <v>Use column to right</v>
      </c>
      <c r="Q20" s="307" t="e">
        <f>IF(B20="", "", IF(D20="MWh/yr (LHV)", Initial_questions!$E$41*1000/Conversion_kWh_to_MJ, "Use column to left"))</f>
        <v>#VALUE!</v>
      </c>
      <c r="R20" s="307" t="s">
        <v>799</v>
      </c>
      <c r="S20" s="270" t="str">
        <f t="shared" ref="S20:S29" si="3">IFERROR(IF(D20="tonnes/yr", $P20*$E20/($L$9*3.6), $Q20*$E20*3.6/($L$9*3.6)), "Unfilled fields to left")</f>
        <v>Unfilled fields to left</v>
      </c>
      <c r="U20" s="21"/>
      <c r="V20" s="12"/>
    </row>
    <row r="21" spans="2:26" s="14" customFormat="1">
      <c r="B21" s="190" t="s">
        <v>592</v>
      </c>
      <c r="C21" s="188" t="s">
        <v>597</v>
      </c>
      <c r="D21" s="183" t="s">
        <v>747</v>
      </c>
      <c r="E21" s="35"/>
      <c r="F21" s="24"/>
      <c r="G21" s="21"/>
      <c r="H21" s="66"/>
      <c r="I21" s="66"/>
      <c r="J21" s="311"/>
      <c r="K21" s="313"/>
      <c r="L21" s="247">
        <f t="shared" si="1"/>
        <v>0</v>
      </c>
      <c r="M21" s="19"/>
      <c r="N21" s="19"/>
      <c r="O21" s="19"/>
      <c r="P21" s="307" t="str">
        <f t="shared" si="2"/>
        <v>Use column to right</v>
      </c>
      <c r="Q21" s="307" t="str">
        <f t="shared" ref="Q21:Q25" si="4">IF(B21="", "", IF(D21="MWh/yr (LHV)", "Enter data here", "Use column to left"))</f>
        <v>Enter data here</v>
      </c>
      <c r="R21" s="35" t="s">
        <v>899</v>
      </c>
      <c r="S21" s="383" t="str">
        <f t="shared" si="3"/>
        <v>Unfilled fields to left</v>
      </c>
      <c r="U21" s="21"/>
    </row>
    <row r="22" spans="2:26" s="14" customFormat="1">
      <c r="B22" s="190" t="s">
        <v>592</v>
      </c>
      <c r="C22" s="188" t="s">
        <v>598</v>
      </c>
      <c r="D22" s="183" t="s">
        <v>747</v>
      </c>
      <c r="E22" s="35"/>
      <c r="F22" s="24"/>
      <c r="G22" s="21"/>
      <c r="H22" s="66"/>
      <c r="I22" s="66"/>
      <c r="J22" s="311"/>
      <c r="K22" s="313"/>
      <c r="L22" s="247">
        <f t="shared" si="1"/>
        <v>0</v>
      </c>
      <c r="M22" s="19"/>
      <c r="N22" s="19"/>
      <c r="O22" s="19"/>
      <c r="P22" s="307" t="str">
        <f t="shared" si="2"/>
        <v>Use column to right</v>
      </c>
      <c r="Q22" s="307" t="str">
        <f t="shared" si="4"/>
        <v>Enter data here</v>
      </c>
      <c r="R22" s="35" t="s">
        <v>899</v>
      </c>
      <c r="S22" s="383" t="str">
        <f t="shared" si="3"/>
        <v>Unfilled fields to left</v>
      </c>
      <c r="U22" s="68"/>
    </row>
    <row r="23" spans="2:26">
      <c r="B23" s="190" t="s">
        <v>599</v>
      </c>
      <c r="C23" s="188" t="s">
        <v>600</v>
      </c>
      <c r="D23" s="183" t="s">
        <v>582</v>
      </c>
      <c r="E23" s="35"/>
      <c r="F23" s="85"/>
      <c r="G23" s="21"/>
      <c r="H23" s="20"/>
      <c r="I23" s="36"/>
      <c r="J23" s="307"/>
      <c r="K23" s="309"/>
      <c r="L23" s="247">
        <f t="shared" si="1"/>
        <v>0</v>
      </c>
      <c r="M23" s="12"/>
      <c r="P23" s="307" t="str">
        <f t="shared" si="2"/>
        <v>Enter data here</v>
      </c>
      <c r="Q23" s="307" t="str">
        <f t="shared" si="4"/>
        <v>Use column to left</v>
      </c>
      <c r="R23" s="35" t="s">
        <v>899</v>
      </c>
      <c r="S23" s="383" t="str">
        <f t="shared" si="3"/>
        <v>Unfilled fields to left</v>
      </c>
      <c r="U23" s="25"/>
      <c r="V23" s="12"/>
    </row>
    <row r="24" spans="2:26">
      <c r="B24" s="190" t="s">
        <v>599</v>
      </c>
      <c r="C24" s="188" t="s">
        <v>601</v>
      </c>
      <c r="D24" s="183" t="s">
        <v>582</v>
      </c>
      <c r="E24" s="35"/>
      <c r="F24" s="21"/>
      <c r="G24" s="21"/>
      <c r="H24" s="20"/>
      <c r="I24" s="36"/>
      <c r="J24" s="307"/>
      <c r="K24" s="309"/>
      <c r="L24" s="247">
        <f t="shared" si="1"/>
        <v>0</v>
      </c>
      <c r="M24" s="12"/>
      <c r="P24" s="307" t="str">
        <f t="shared" si="2"/>
        <v>Enter data here</v>
      </c>
      <c r="Q24" s="307" t="str">
        <f t="shared" si="4"/>
        <v>Use column to left</v>
      </c>
      <c r="R24" s="35" t="s">
        <v>899</v>
      </c>
      <c r="S24" s="383" t="str">
        <f t="shared" si="3"/>
        <v>Unfilled fields to left</v>
      </c>
      <c r="U24" s="25"/>
      <c r="V24" s="12"/>
    </row>
    <row r="25" spans="2:26">
      <c r="B25" s="190" t="s">
        <v>599</v>
      </c>
      <c r="C25" s="188" t="s">
        <v>602</v>
      </c>
      <c r="D25" s="183" t="s">
        <v>582</v>
      </c>
      <c r="E25" s="35"/>
      <c r="F25" s="21"/>
      <c r="G25" s="21"/>
      <c r="H25" s="20"/>
      <c r="I25" s="36"/>
      <c r="J25" s="307"/>
      <c r="K25" s="309"/>
      <c r="L25" s="247">
        <f t="shared" si="1"/>
        <v>0</v>
      </c>
      <c r="M25" s="19"/>
      <c r="N25" s="19"/>
      <c r="O25" s="19"/>
      <c r="P25" s="307" t="str">
        <f t="shared" si="2"/>
        <v>Enter data here</v>
      </c>
      <c r="Q25" s="307" t="str">
        <f t="shared" si="4"/>
        <v>Use column to left</v>
      </c>
      <c r="R25" s="35" t="s">
        <v>899</v>
      </c>
      <c r="S25" s="383" t="str">
        <f t="shared" si="3"/>
        <v>Unfilled fields to left</v>
      </c>
      <c r="T25" s="19"/>
      <c r="U25" s="25"/>
      <c r="V25" s="19"/>
      <c r="W25" s="19"/>
      <c r="X25" s="19"/>
      <c r="Y25" s="19"/>
      <c r="Z25" s="19"/>
    </row>
    <row r="26" spans="2:26">
      <c r="B26" s="16"/>
      <c r="C26" s="15"/>
      <c r="D26" s="183"/>
      <c r="E26" s="35"/>
      <c r="F26" s="21"/>
      <c r="G26" s="21"/>
      <c r="H26" s="20"/>
      <c r="I26" s="36"/>
      <c r="J26" s="307"/>
      <c r="K26" s="309"/>
      <c r="L26" s="247">
        <f t="shared" si="1"/>
        <v>0</v>
      </c>
      <c r="M26" s="19"/>
      <c r="N26" s="19"/>
      <c r="O26" s="19"/>
      <c r="P26" s="307" t="str">
        <f t="shared" ref="P26:P29" si="5">IF(B26="", "", IF(D26="MWh/yr (LHV)", "Use column to right", "Enter data here"))</f>
        <v/>
      </c>
      <c r="Q26" s="307" t="str">
        <f t="shared" ref="Q26:Q29" si="6">IF(B26="", "", IF(D26="MWh/yr (LHV)", "Enter data here", "Use column to left"))</f>
        <v/>
      </c>
      <c r="R26" s="309"/>
      <c r="S26" s="383" t="str">
        <f t="shared" si="3"/>
        <v>Unfilled fields to left</v>
      </c>
      <c r="T26" s="19"/>
      <c r="U26" s="25"/>
      <c r="V26" s="19"/>
      <c r="W26" s="19"/>
      <c r="X26" s="19"/>
      <c r="Y26" s="19"/>
      <c r="Z26" s="19"/>
    </row>
    <row r="27" spans="2:26">
      <c r="B27" s="16"/>
      <c r="C27" s="15"/>
      <c r="D27" s="183"/>
      <c r="E27" s="35"/>
      <c r="F27" s="21"/>
      <c r="G27" s="21"/>
      <c r="H27" s="20"/>
      <c r="I27" s="36"/>
      <c r="J27" s="307"/>
      <c r="K27" s="309"/>
      <c r="L27" s="247">
        <f t="shared" si="1"/>
        <v>0</v>
      </c>
      <c r="M27" s="19"/>
      <c r="N27" s="19"/>
      <c r="O27" s="19"/>
      <c r="P27" s="307" t="str">
        <f t="shared" si="5"/>
        <v/>
      </c>
      <c r="Q27" s="307" t="str">
        <f t="shared" si="6"/>
        <v/>
      </c>
      <c r="R27" s="309"/>
      <c r="S27" s="383" t="str">
        <f t="shared" si="3"/>
        <v>Unfilled fields to left</v>
      </c>
      <c r="T27" s="19"/>
      <c r="U27" s="25"/>
      <c r="V27" s="19"/>
      <c r="W27" s="19"/>
      <c r="X27" s="19"/>
      <c r="Y27" s="19"/>
      <c r="Z27" s="19"/>
    </row>
    <row r="28" spans="2:26">
      <c r="B28" s="16"/>
      <c r="C28" s="15"/>
      <c r="D28" s="183"/>
      <c r="E28" s="35"/>
      <c r="F28" s="21"/>
      <c r="G28" s="21"/>
      <c r="H28" s="20"/>
      <c r="I28" s="36"/>
      <c r="J28" s="307"/>
      <c r="K28" s="309"/>
      <c r="L28" s="247">
        <f t="shared" si="1"/>
        <v>0</v>
      </c>
      <c r="M28" s="19"/>
      <c r="N28" s="19"/>
      <c r="O28" s="19"/>
      <c r="P28" s="307" t="str">
        <f t="shared" si="5"/>
        <v/>
      </c>
      <c r="Q28" s="307" t="str">
        <f t="shared" si="6"/>
        <v/>
      </c>
      <c r="R28" s="309"/>
      <c r="S28" s="383" t="str">
        <f t="shared" si="3"/>
        <v>Unfilled fields to left</v>
      </c>
      <c r="T28" s="19"/>
      <c r="U28" s="25"/>
      <c r="V28" s="19"/>
      <c r="W28" s="19"/>
      <c r="X28" s="19"/>
      <c r="Y28" s="19"/>
      <c r="Z28" s="19"/>
    </row>
    <row r="29" spans="2:26">
      <c r="B29" s="16"/>
      <c r="C29" s="15"/>
      <c r="D29" s="183"/>
      <c r="E29" s="35"/>
      <c r="F29" s="21"/>
      <c r="G29" s="21"/>
      <c r="H29" s="20"/>
      <c r="I29" s="36"/>
      <c r="J29" s="307"/>
      <c r="K29" s="309"/>
      <c r="L29" s="247">
        <f t="shared" si="1"/>
        <v>0</v>
      </c>
      <c r="M29" s="19"/>
      <c r="N29" s="19"/>
      <c r="O29" s="19"/>
      <c r="P29" s="307" t="str">
        <f t="shared" si="5"/>
        <v/>
      </c>
      <c r="Q29" s="307" t="str">
        <f t="shared" si="6"/>
        <v/>
      </c>
      <c r="R29" s="309"/>
      <c r="S29" s="383" t="str">
        <f t="shared" si="3"/>
        <v>Unfilled fields to left</v>
      </c>
      <c r="T29" s="19"/>
      <c r="U29" s="25"/>
      <c r="V29" s="19"/>
      <c r="W29" s="19"/>
      <c r="X29" s="19"/>
      <c r="Y29" s="19"/>
      <c r="Z29" s="19"/>
    </row>
    <row r="30" spans="2:26">
      <c r="B30" s="71"/>
      <c r="C30" s="72"/>
      <c r="D30" s="72"/>
      <c r="E30" s="532"/>
      <c r="F30" s="73"/>
      <c r="G30" s="73"/>
      <c r="H30" s="74"/>
      <c r="I30" s="75"/>
      <c r="J30" s="78"/>
      <c r="K30" s="76"/>
      <c r="L30" s="76"/>
      <c r="M30" s="12"/>
      <c r="P30" s="78"/>
      <c r="Q30" s="76"/>
      <c r="R30" s="76"/>
      <c r="S30" s="146"/>
      <c r="U30" s="77"/>
      <c r="V30" s="12"/>
    </row>
    <row r="31" spans="2:26" ht="15.6">
      <c r="B31" s="149" t="s">
        <v>889</v>
      </c>
      <c r="C31" s="158"/>
      <c r="D31" s="158"/>
      <c r="E31" s="533"/>
      <c r="F31" s="159"/>
      <c r="G31" s="159"/>
      <c r="H31" s="160"/>
      <c r="I31" s="161"/>
      <c r="J31" s="312"/>
      <c r="K31" s="504"/>
      <c r="L31" s="504"/>
      <c r="M31" s="162"/>
      <c r="N31" s="162"/>
      <c r="O31" s="162"/>
      <c r="P31" s="520" t="s">
        <v>865</v>
      </c>
      <c r="Q31" s="520" t="s">
        <v>865</v>
      </c>
      <c r="R31" s="504"/>
      <c r="S31" s="175">
        <f>SUM(S32:S41)</f>
        <v>0</v>
      </c>
      <c r="U31" s="77"/>
      <c r="V31" s="12"/>
    </row>
    <row r="32" spans="2:26">
      <c r="B32" s="190" t="s">
        <v>603</v>
      </c>
      <c r="C32" s="188" t="s">
        <v>650</v>
      </c>
      <c r="D32" s="183" t="s">
        <v>582</v>
      </c>
      <c r="E32" s="35"/>
      <c r="F32" s="21"/>
      <c r="G32" s="21"/>
      <c r="H32" s="21"/>
      <c r="I32" s="21"/>
      <c r="J32" s="313"/>
      <c r="K32" s="313"/>
      <c r="L32" s="247">
        <f t="shared" ref="L32:L41" si="7">IF($D32="MWh/yr (LHV)",$E32,$J32*$E32/Conversion_kWh_to_MJ)</f>
        <v>0</v>
      </c>
      <c r="M32" s="12"/>
      <c r="P32" s="307" t="str">
        <f>IF(B32="", "", IF(D32="MWh/yr (LHV)", "Use column to right", "Enter data here"))</f>
        <v>Enter data here</v>
      </c>
      <c r="Q32" s="307" t="str">
        <f>IF(B32="", "", IF(D32="MWh/yr (LHV)", "Enter data here", "Use column to left"))</f>
        <v>Use column to left</v>
      </c>
      <c r="R32" s="35" t="s">
        <v>899</v>
      </c>
      <c r="S32" s="269" t="str">
        <f t="shared" ref="S32:S41" si="8">IFERROR(IF(D32="tonnes/yr", $P32*$E32/($L$9*3.6), $Q32*$E32*3.6/($L$9*3.6)), "Unfilled fields to left")</f>
        <v>Unfilled fields to left</v>
      </c>
      <c r="U32" s="21"/>
      <c r="V32" s="12"/>
    </row>
    <row r="33" spans="2:22">
      <c r="B33" s="190" t="s">
        <v>605</v>
      </c>
      <c r="C33" s="188" t="s">
        <v>695</v>
      </c>
      <c r="D33" s="183" t="s">
        <v>582</v>
      </c>
      <c r="E33" s="35"/>
      <c r="F33" s="24"/>
      <c r="G33" s="21"/>
      <c r="H33" s="20"/>
      <c r="I33" s="36"/>
      <c r="J33" s="307"/>
      <c r="K33" s="309"/>
      <c r="L33" s="247">
        <f t="shared" si="7"/>
        <v>0</v>
      </c>
      <c r="M33" s="12"/>
      <c r="P33" s="307" t="str">
        <f t="shared" ref="P33:P41" si="9">IF(B33="", "", IF(D33="MWh/yr (LHV)", "Use column to right", "Enter data here"))</f>
        <v>Enter data here</v>
      </c>
      <c r="Q33" s="307" t="str">
        <f t="shared" ref="Q33:Q41" si="10">IF(B33="", "", IF(D33="MWh/yr (LHV)", "Enter data here", "Use column to left"))</f>
        <v>Use column to left</v>
      </c>
      <c r="R33" s="35" t="s">
        <v>899</v>
      </c>
      <c r="S33" s="269" t="str">
        <f t="shared" si="8"/>
        <v>Unfilled fields to left</v>
      </c>
      <c r="U33" s="25"/>
      <c r="V33" s="12"/>
    </row>
    <row r="34" spans="2:22">
      <c r="B34" s="190" t="s">
        <v>605</v>
      </c>
      <c r="C34" s="188" t="s">
        <v>585</v>
      </c>
      <c r="D34" s="183" t="s">
        <v>582</v>
      </c>
      <c r="E34" s="35"/>
      <c r="F34" s="21"/>
      <c r="G34" s="21"/>
      <c r="H34" s="20"/>
      <c r="I34" s="36"/>
      <c r="J34" s="307"/>
      <c r="K34" s="309"/>
      <c r="L34" s="247">
        <f t="shared" si="7"/>
        <v>0</v>
      </c>
      <c r="M34" s="12"/>
      <c r="P34" s="307" t="str">
        <f t="shared" si="9"/>
        <v>Enter data here</v>
      </c>
      <c r="Q34" s="307" t="str">
        <f t="shared" si="10"/>
        <v>Use column to left</v>
      </c>
      <c r="R34" s="35" t="s">
        <v>899</v>
      </c>
      <c r="S34" s="269" t="str">
        <f t="shared" si="8"/>
        <v>Unfilled fields to left</v>
      </c>
      <c r="U34" s="25"/>
      <c r="V34" s="12"/>
    </row>
    <row r="35" spans="2:22">
      <c r="B35" s="190" t="s">
        <v>605</v>
      </c>
      <c r="C35" s="188" t="s">
        <v>607</v>
      </c>
      <c r="D35" s="183" t="s">
        <v>582</v>
      </c>
      <c r="E35" s="35"/>
      <c r="F35" s="21"/>
      <c r="G35" s="21"/>
      <c r="H35" s="20"/>
      <c r="I35" s="36"/>
      <c r="J35" s="307"/>
      <c r="K35" s="309"/>
      <c r="L35" s="247">
        <f t="shared" si="7"/>
        <v>0</v>
      </c>
      <c r="M35" s="12"/>
      <c r="P35" s="307" t="str">
        <f t="shared" si="9"/>
        <v>Enter data here</v>
      </c>
      <c r="Q35" s="307" t="str">
        <f t="shared" si="10"/>
        <v>Use column to left</v>
      </c>
      <c r="R35" s="35" t="s">
        <v>899</v>
      </c>
      <c r="S35" s="269" t="str">
        <f t="shared" si="8"/>
        <v>Unfilled fields to left</v>
      </c>
      <c r="U35" s="25"/>
      <c r="V35" s="12"/>
    </row>
    <row r="36" spans="2:22">
      <c r="B36" s="190" t="s">
        <v>657</v>
      </c>
      <c r="C36" s="188" t="s">
        <v>609</v>
      </c>
      <c r="D36" s="183" t="s">
        <v>582</v>
      </c>
      <c r="E36" s="35"/>
      <c r="F36" s="21"/>
      <c r="G36" s="21"/>
      <c r="H36" s="20"/>
      <c r="I36" s="36"/>
      <c r="J36" s="307"/>
      <c r="K36" s="309"/>
      <c r="L36" s="247">
        <f t="shared" si="7"/>
        <v>0</v>
      </c>
      <c r="M36" s="12"/>
      <c r="P36" s="307" t="str">
        <f t="shared" si="9"/>
        <v>Enter data here</v>
      </c>
      <c r="Q36" s="307" t="str">
        <f t="shared" si="10"/>
        <v>Use column to left</v>
      </c>
      <c r="R36" s="35" t="s">
        <v>899</v>
      </c>
      <c r="S36" s="269" t="str">
        <f t="shared" si="8"/>
        <v>Unfilled fields to left</v>
      </c>
      <c r="U36" s="25"/>
      <c r="V36" s="12"/>
    </row>
    <row r="37" spans="2:22">
      <c r="B37" s="190" t="s">
        <v>657</v>
      </c>
      <c r="C37" s="188"/>
      <c r="D37" s="183"/>
      <c r="E37" s="35"/>
      <c r="F37" s="21"/>
      <c r="G37" s="21"/>
      <c r="H37" s="20"/>
      <c r="I37" s="36"/>
      <c r="J37" s="307"/>
      <c r="K37" s="309"/>
      <c r="L37" s="247">
        <f t="shared" si="7"/>
        <v>0</v>
      </c>
      <c r="M37" s="12"/>
      <c r="P37" s="307" t="str">
        <f t="shared" si="9"/>
        <v>Enter data here</v>
      </c>
      <c r="Q37" s="307" t="str">
        <f t="shared" si="10"/>
        <v>Use column to left</v>
      </c>
      <c r="R37" s="35" t="s">
        <v>899</v>
      </c>
      <c r="S37" s="269" t="str">
        <f t="shared" si="8"/>
        <v>Unfilled fields to left</v>
      </c>
      <c r="U37" s="25"/>
      <c r="V37" s="12"/>
    </row>
    <row r="38" spans="2:22">
      <c r="B38" s="16"/>
      <c r="C38" s="15"/>
      <c r="D38" s="183"/>
      <c r="E38" s="35"/>
      <c r="F38" s="57"/>
      <c r="G38" s="21"/>
      <c r="H38" s="20"/>
      <c r="I38" s="36"/>
      <c r="J38" s="307"/>
      <c r="K38" s="309"/>
      <c r="L38" s="247">
        <f t="shared" si="7"/>
        <v>0</v>
      </c>
      <c r="M38" s="12"/>
      <c r="P38" s="307" t="str">
        <f t="shared" si="9"/>
        <v/>
      </c>
      <c r="Q38" s="307" t="str">
        <f t="shared" si="10"/>
        <v/>
      </c>
      <c r="R38" s="309"/>
      <c r="S38" s="269" t="str">
        <f t="shared" si="8"/>
        <v>Unfilled fields to left</v>
      </c>
      <c r="U38" s="25"/>
      <c r="V38" s="12"/>
    </row>
    <row r="39" spans="2:22">
      <c r="B39" s="16"/>
      <c r="C39" s="15"/>
      <c r="D39" s="183"/>
      <c r="E39" s="35"/>
      <c r="F39" s="57"/>
      <c r="G39" s="21"/>
      <c r="H39" s="20"/>
      <c r="I39" s="36"/>
      <c r="J39" s="307"/>
      <c r="K39" s="309"/>
      <c r="L39" s="247">
        <f t="shared" si="7"/>
        <v>0</v>
      </c>
      <c r="M39" s="12"/>
      <c r="P39" s="307" t="str">
        <f t="shared" si="9"/>
        <v/>
      </c>
      <c r="Q39" s="307" t="str">
        <f t="shared" si="10"/>
        <v/>
      </c>
      <c r="R39" s="309"/>
      <c r="S39" s="269" t="str">
        <f t="shared" si="8"/>
        <v>Unfilled fields to left</v>
      </c>
      <c r="U39" s="25"/>
      <c r="V39" s="12"/>
    </row>
    <row r="40" spans="2:22">
      <c r="B40" s="16"/>
      <c r="C40" s="15"/>
      <c r="D40" s="183"/>
      <c r="E40" s="35"/>
      <c r="F40" s="57"/>
      <c r="G40" s="21"/>
      <c r="H40" s="20"/>
      <c r="I40" s="36"/>
      <c r="J40" s="307"/>
      <c r="K40" s="309"/>
      <c r="L40" s="247">
        <f t="shared" si="7"/>
        <v>0</v>
      </c>
      <c r="M40" s="12"/>
      <c r="P40" s="307" t="str">
        <f t="shared" si="9"/>
        <v/>
      </c>
      <c r="Q40" s="307" t="str">
        <f t="shared" si="10"/>
        <v/>
      </c>
      <c r="R40" s="309"/>
      <c r="S40" s="269" t="str">
        <f t="shared" si="8"/>
        <v>Unfilled fields to left</v>
      </c>
      <c r="U40" s="25"/>
      <c r="V40" s="12"/>
    </row>
    <row r="41" spans="2:22">
      <c r="B41" s="16"/>
      <c r="C41" s="15"/>
      <c r="D41" s="183"/>
      <c r="E41" s="35"/>
      <c r="F41" s="21"/>
      <c r="G41" s="21"/>
      <c r="H41" s="20"/>
      <c r="I41" s="36"/>
      <c r="J41" s="307"/>
      <c r="K41" s="309"/>
      <c r="L41" s="247">
        <f t="shared" si="7"/>
        <v>0</v>
      </c>
      <c r="M41" s="12"/>
      <c r="P41" s="307" t="str">
        <f t="shared" si="9"/>
        <v/>
      </c>
      <c r="Q41" s="307" t="str">
        <f t="shared" si="10"/>
        <v/>
      </c>
      <c r="R41" s="309"/>
      <c r="S41" s="269" t="str">
        <f t="shared" si="8"/>
        <v>Unfilled fields to left</v>
      </c>
      <c r="U41" s="25"/>
      <c r="V41" s="12"/>
    </row>
    <row r="42" spans="2:22">
      <c r="B42" s="14"/>
      <c r="C42" s="86"/>
      <c r="D42" s="86"/>
      <c r="E42" s="526"/>
      <c r="F42" s="87"/>
      <c r="G42" s="88"/>
      <c r="H42" s="89"/>
      <c r="I42" s="89"/>
      <c r="J42" s="90"/>
      <c r="K42" s="90"/>
      <c r="L42" s="90"/>
      <c r="M42" s="28"/>
      <c r="N42" s="14"/>
      <c r="O42" s="14"/>
      <c r="P42" s="90"/>
      <c r="Q42" s="90"/>
      <c r="R42" s="90"/>
      <c r="S42" s="147"/>
      <c r="U42" s="27"/>
      <c r="V42" s="12"/>
    </row>
    <row r="43" spans="2:22" s="14" customFormat="1">
      <c r="B43" s="149" t="s">
        <v>610</v>
      </c>
      <c r="C43" s="163"/>
      <c r="D43" s="163"/>
      <c r="E43" s="527"/>
      <c r="F43" s="164"/>
      <c r="G43" s="165"/>
      <c r="H43" s="164"/>
      <c r="I43" s="164"/>
      <c r="J43" s="314"/>
      <c r="K43" s="314"/>
      <c r="L43" s="314"/>
      <c r="M43" s="166"/>
      <c r="N43" s="167"/>
      <c r="O43" s="156"/>
      <c r="P43" s="314" t="s">
        <v>866</v>
      </c>
      <c r="Q43" s="314"/>
      <c r="R43" s="314"/>
      <c r="S43" s="175">
        <f>SUM(S44:S48)</f>
        <v>0</v>
      </c>
      <c r="U43" s="73"/>
    </row>
    <row r="44" spans="2:22" s="14" customFormat="1">
      <c r="B44" s="190" t="s">
        <v>611</v>
      </c>
      <c r="C44" s="188" t="s">
        <v>873</v>
      </c>
      <c r="D44" s="183" t="s">
        <v>582</v>
      </c>
      <c r="E44" s="35"/>
      <c r="F44" s="24"/>
      <c r="G44" s="21"/>
      <c r="H44" s="21"/>
      <c r="I44" s="21"/>
      <c r="J44" s="313"/>
      <c r="K44" s="313"/>
      <c r="L44" s="247">
        <f>IF($D44="MWh/yr (LHV)",$E44,$J44*$E44/Conversion_kWh_to_MJ)</f>
        <v>0</v>
      </c>
      <c r="M44" s="12"/>
      <c r="N44" s="12"/>
      <c r="O44" s="12"/>
      <c r="P44" s="307">
        <v>0</v>
      </c>
      <c r="Q44" s="505"/>
      <c r="R44" s="35" t="s">
        <v>801</v>
      </c>
      <c r="S44" s="269" t="str">
        <f>IFERROR(IF(D44="tonnes/yr", $P44*$E44/($L$9*3.6), $Q44*$E44*3.6/($L$9*3.6)), "Unfilled fields to left")</f>
        <v>Unfilled fields to left</v>
      </c>
      <c r="U44" s="21"/>
    </row>
    <row r="45" spans="2:22" s="14" customFormat="1">
      <c r="B45" s="190" t="s">
        <v>611</v>
      </c>
      <c r="C45" s="188" t="s">
        <v>874</v>
      </c>
      <c r="D45" s="183" t="s">
        <v>582</v>
      </c>
      <c r="E45" s="35"/>
      <c r="F45" s="66"/>
      <c r="G45" s="66"/>
      <c r="H45" s="66"/>
      <c r="I45" s="66"/>
      <c r="J45" s="311"/>
      <c r="K45" s="313"/>
      <c r="L45" s="247">
        <f>IF($D45="MWh/yr (LHV)",$E45,$J45*$E45/Conversion_kWh_to_MJ)</f>
        <v>0</v>
      </c>
      <c r="M45" s="12"/>
      <c r="N45" s="12"/>
      <c r="O45" s="12"/>
      <c r="P45" s="35">
        <v>1000</v>
      </c>
      <c r="Q45" s="546"/>
      <c r="R45" s="35" t="s">
        <v>814</v>
      </c>
      <c r="S45" s="269" t="str">
        <f>IFERROR(IF(D45="tonnes/yr", $P45*$E45/($L$9*3.6), $Q45*$E45*3.6/($L$9*3.6)), "Unfilled fields to left")</f>
        <v>Unfilled fields to left</v>
      </c>
      <c r="U45" s="21"/>
    </row>
    <row r="46" spans="2:22" s="14" customFormat="1">
      <c r="B46" s="190" t="s">
        <v>611</v>
      </c>
      <c r="C46" s="188" t="s">
        <v>861</v>
      </c>
      <c r="D46" s="183" t="s">
        <v>582</v>
      </c>
      <c r="E46" s="35"/>
      <c r="F46" s="21"/>
      <c r="G46" s="21"/>
      <c r="H46" s="66"/>
      <c r="I46" s="66"/>
      <c r="J46" s="311"/>
      <c r="K46" s="313"/>
      <c r="L46" s="247">
        <f>IF($D46="MWh/yr (LHV)",$E46,$J46*$E46/Conversion_kWh_to_MJ)</f>
        <v>0</v>
      </c>
      <c r="M46" s="19"/>
      <c r="N46" s="19"/>
      <c r="O46" s="19"/>
      <c r="P46" s="511">
        <v>0</v>
      </c>
      <c r="Q46" s="546"/>
      <c r="R46" s="35" t="s">
        <v>801</v>
      </c>
      <c r="S46" s="269" t="str">
        <f>IFERROR(IF(D46="tonnes/yr", $P46*$E46/($L$9*3.6), $Q46*$E46*3.6/($L$9*3.6)), "Unfilled fields to left")</f>
        <v>Unfilled fields to left</v>
      </c>
      <c r="U46" s="68"/>
    </row>
    <row r="47" spans="2:22" s="14" customFormat="1">
      <c r="B47" s="190" t="s">
        <v>611</v>
      </c>
      <c r="C47" s="188" t="s">
        <v>837</v>
      </c>
      <c r="D47" s="183" t="s">
        <v>582</v>
      </c>
      <c r="E47" s="35"/>
      <c r="F47" s="21"/>
      <c r="G47" s="21"/>
      <c r="H47" s="21"/>
      <c r="I47" s="21"/>
      <c r="J47" s="313"/>
      <c r="K47" s="313"/>
      <c r="L47" s="247">
        <f>IF($D47="MWh/yr (LHV)",$E47,$J47*$E47/Conversion_kWh_to_MJ)</f>
        <v>0</v>
      </c>
      <c r="M47" s="19"/>
      <c r="N47" s="19"/>
      <c r="O47" s="19"/>
      <c r="P47" s="511">
        <v>1000</v>
      </c>
      <c r="Q47" s="546"/>
      <c r="R47" s="35" t="s">
        <v>814</v>
      </c>
      <c r="S47" s="269" t="str">
        <f>IFERROR(IF(D47="tonnes/yr", $P47*$E47/($L$9*3.6), $Q47*$E47*3.6/($L$9*3.6)), "Unfilled fields to left")</f>
        <v>Unfilled fields to left</v>
      </c>
      <c r="U47" s="68"/>
    </row>
    <row r="48" spans="2:22" s="14" customFormat="1">
      <c r="B48" s="67"/>
      <c r="C48" s="15"/>
      <c r="D48" s="183"/>
      <c r="E48" s="35"/>
      <c r="F48" s="21"/>
      <c r="G48" s="21"/>
      <c r="H48" s="21"/>
      <c r="I48" s="21"/>
      <c r="J48" s="313"/>
      <c r="K48" s="313"/>
      <c r="L48" s="247">
        <f>IF($D48="MWh/yr (LHV)",$E48,$J48*$E48/Conversion_kWh_to_MJ)</f>
        <v>0</v>
      </c>
      <c r="M48" s="19"/>
      <c r="N48" s="19"/>
      <c r="O48" s="19"/>
      <c r="P48" s="315"/>
      <c r="Q48" s="505"/>
      <c r="R48" s="309"/>
      <c r="S48" s="269" t="str">
        <f>IFERROR(IF(D48="tonnes/yr", $P48*$E48/($L$9*3.6), $Q48*$E48*3.6/($L$9*3.6)), "Unfilled fields to left")</f>
        <v>Unfilled fields to left</v>
      </c>
      <c r="U48" s="68"/>
    </row>
    <row r="49" spans="2:22" s="14" customFormat="1">
      <c r="B49" s="71"/>
      <c r="C49" s="72"/>
      <c r="D49" s="72"/>
      <c r="E49" s="532"/>
      <c r="F49" s="73"/>
      <c r="G49" s="73"/>
      <c r="H49" s="73"/>
      <c r="I49" s="73"/>
      <c r="J49" s="146"/>
      <c r="K49" s="146"/>
      <c r="L49" s="76"/>
      <c r="M49" s="460"/>
      <c r="N49" s="460"/>
      <c r="O49" s="460"/>
      <c r="P49" s="76"/>
      <c r="Q49" s="76"/>
      <c r="R49" s="76"/>
      <c r="S49" s="146"/>
      <c r="T49" s="461"/>
      <c r="U49" s="73"/>
    </row>
    <row r="50" spans="2:22" s="14" customFormat="1" ht="15.6">
      <c r="B50" s="149" t="s">
        <v>612</v>
      </c>
      <c r="C50" s="163"/>
      <c r="D50" s="163"/>
      <c r="E50" s="527"/>
      <c r="F50" s="164"/>
      <c r="G50" s="165"/>
      <c r="H50" s="164"/>
      <c r="I50" s="164"/>
      <c r="J50" s="314"/>
      <c r="K50" s="314"/>
      <c r="L50" s="314"/>
      <c r="M50" s="166"/>
      <c r="N50" s="167"/>
      <c r="O50" s="156"/>
      <c r="P50" s="314" t="s">
        <v>867</v>
      </c>
      <c r="Q50" s="314" t="s">
        <v>867</v>
      </c>
      <c r="R50" s="314"/>
      <c r="S50" s="175">
        <f>SUM(S51:S56)</f>
        <v>0</v>
      </c>
      <c r="U50" s="73"/>
    </row>
    <row r="51" spans="2:22">
      <c r="B51" s="190" t="s">
        <v>592</v>
      </c>
      <c r="C51" s="188" t="s">
        <v>614</v>
      </c>
      <c r="D51" s="183" t="s">
        <v>747</v>
      </c>
      <c r="E51" s="35"/>
      <c r="F51" s="24"/>
      <c r="G51" s="21"/>
      <c r="H51" s="20"/>
      <c r="I51" s="36"/>
      <c r="J51" s="310"/>
      <c r="K51" s="309"/>
      <c r="L51" s="247">
        <f t="shared" ref="L51:L56" si="11">IF($D51="MWh/yr (LHV)",$E51,$J51*$E51/Conversion_kWh_to_MJ)</f>
        <v>0</v>
      </c>
      <c r="M51" s="12"/>
      <c r="P51" s="307" t="str">
        <f t="shared" ref="P51:P54" si="12">IF(B51="", "", IF(D51="MWh/yr (LHV)", "Use column to right", "Enter data here"))</f>
        <v>Use column to right</v>
      </c>
      <c r="Q51" s="307" t="e">
        <f>IF(B51="", "", IF(D51="MWh/yr (LHV)", Initial_questions!$E$41*1000/Conversion_kWh_to_MJ, "Use column to left"))</f>
        <v>#VALUE!</v>
      </c>
      <c r="R51" s="307" t="s">
        <v>799</v>
      </c>
      <c r="S51" s="270" t="str">
        <f t="shared" ref="S51:S56" si="13">IFERROR(IF(D51="tonnes/yr", $P51*$E51/($L$9*3.6), $Q51*$E51*3.6/($L$9*3.6)), "Unfilled fields to left")</f>
        <v>Unfilled fields to left</v>
      </c>
      <c r="U51" s="25"/>
      <c r="V51" s="12"/>
    </row>
    <row r="52" spans="2:22">
      <c r="B52" s="190" t="s">
        <v>592</v>
      </c>
      <c r="C52" s="188" t="s">
        <v>613</v>
      </c>
      <c r="D52" s="183" t="s">
        <v>747</v>
      </c>
      <c r="E52" s="35"/>
      <c r="F52" s="24"/>
      <c r="G52" s="21"/>
      <c r="H52" s="20"/>
      <c r="I52" s="36"/>
      <c r="J52" s="307"/>
      <c r="K52" s="309"/>
      <c r="L52" s="247">
        <f t="shared" si="11"/>
        <v>0</v>
      </c>
      <c r="M52" s="58"/>
      <c r="P52" s="307" t="str">
        <f t="shared" si="12"/>
        <v>Use column to right</v>
      </c>
      <c r="Q52" s="35" t="e">
        <f>INDEX(Assumptions!$F$5:$AJ$5,1,MATCH(Initial_questions!$E$24,Assumptions!$F$4:$AJ$4,0))*1000/Conversion_kWh_to_MJ</f>
        <v>#N/A</v>
      </c>
      <c r="R52" s="35" t="s">
        <v>896</v>
      </c>
      <c r="S52" s="383" t="str">
        <f t="shared" si="13"/>
        <v>Unfilled fields to left</v>
      </c>
      <c r="U52" s="25"/>
      <c r="V52" s="12"/>
    </row>
    <row r="53" spans="2:22">
      <c r="B53" s="190" t="s">
        <v>592</v>
      </c>
      <c r="C53" s="188" t="s">
        <v>879</v>
      </c>
      <c r="D53" s="183" t="s">
        <v>582</v>
      </c>
      <c r="E53" s="35"/>
      <c r="F53" s="24"/>
      <c r="G53" s="21"/>
      <c r="H53" s="20"/>
      <c r="I53" s="36"/>
      <c r="J53" s="307"/>
      <c r="K53" s="309"/>
      <c r="L53" s="247">
        <f t="shared" si="11"/>
        <v>0</v>
      </c>
      <c r="M53" s="58"/>
      <c r="P53" s="307" t="str">
        <f t="shared" si="12"/>
        <v>Enter data here</v>
      </c>
      <c r="Q53" s="35" t="str">
        <f t="shared" ref="Q53:Q54" si="14">IF(B53="", "", IF(D53="MWh/yr (LHV)", "Enter data here", "Use column to left"))</f>
        <v>Use column to left</v>
      </c>
      <c r="R53" s="35" t="s">
        <v>871</v>
      </c>
      <c r="S53" s="383" t="str">
        <f t="shared" si="13"/>
        <v>Unfilled fields to left</v>
      </c>
      <c r="U53" s="25"/>
      <c r="V53" s="12"/>
    </row>
    <row r="54" spans="2:22" s="14" customFormat="1">
      <c r="B54" s="190" t="s">
        <v>592</v>
      </c>
      <c r="C54" s="188" t="s">
        <v>615</v>
      </c>
      <c r="D54" s="183" t="s">
        <v>582</v>
      </c>
      <c r="E54" s="35"/>
      <c r="F54" s="24"/>
      <c r="G54" s="21"/>
      <c r="H54" s="21"/>
      <c r="I54" s="21"/>
      <c r="J54" s="313"/>
      <c r="K54" s="313"/>
      <c r="L54" s="247">
        <f t="shared" si="11"/>
        <v>0</v>
      </c>
      <c r="M54" s="12"/>
      <c r="N54" s="12"/>
      <c r="O54" s="12"/>
      <c r="P54" s="307" t="str">
        <f t="shared" si="12"/>
        <v>Enter data here</v>
      </c>
      <c r="Q54" s="35" t="str">
        <f t="shared" si="14"/>
        <v>Use column to left</v>
      </c>
      <c r="R54" s="35" t="s">
        <v>871</v>
      </c>
      <c r="S54" s="383" t="str">
        <f t="shared" si="13"/>
        <v>Unfilled fields to left</v>
      </c>
      <c r="U54" s="21"/>
    </row>
    <row r="55" spans="2:22" s="14" customFormat="1">
      <c r="B55" s="190" t="s">
        <v>592</v>
      </c>
      <c r="C55" s="188" t="s">
        <v>616</v>
      </c>
      <c r="D55" s="183" t="s">
        <v>747</v>
      </c>
      <c r="E55" s="35"/>
      <c r="F55" s="24"/>
      <c r="G55" s="21"/>
      <c r="H55" s="21"/>
      <c r="I55" s="21"/>
      <c r="J55" s="313"/>
      <c r="K55" s="313"/>
      <c r="L55" s="247">
        <f t="shared" si="11"/>
        <v>0</v>
      </c>
      <c r="M55" s="12"/>
      <c r="N55" s="12"/>
      <c r="O55" s="12"/>
      <c r="P55" s="307" t="str">
        <f t="shared" ref="P55:P56" si="15">IF(B55="", "", IF(D55="MWh/yr (LHV)", "Use column to right", "Enter data here"))</f>
        <v>Use column to right</v>
      </c>
      <c r="Q55" s="35" t="e">
        <f>INDEX(Assumptions!$F$5:$AJ$5,1,MATCH(Initial_questions!$E$24,Assumptions!$F$4:$AJ$4,0))*1000/Conversion_kWh_to_MJ</f>
        <v>#N/A</v>
      </c>
      <c r="R55" s="35" t="s">
        <v>896</v>
      </c>
      <c r="S55" s="383" t="str">
        <f t="shared" si="13"/>
        <v>Unfilled fields to left</v>
      </c>
      <c r="U55" s="21"/>
    </row>
    <row r="56" spans="2:22" s="14" customFormat="1">
      <c r="B56" s="16"/>
      <c r="C56" s="15"/>
      <c r="D56" s="183"/>
      <c r="E56" s="35"/>
      <c r="F56" s="24"/>
      <c r="G56" s="21"/>
      <c r="H56" s="21"/>
      <c r="I56" s="21"/>
      <c r="J56" s="313"/>
      <c r="K56" s="313"/>
      <c r="L56" s="247">
        <f t="shared" si="11"/>
        <v>0</v>
      </c>
      <c r="M56" s="12"/>
      <c r="N56" s="12"/>
      <c r="O56" s="12"/>
      <c r="P56" s="307" t="str">
        <f t="shared" si="15"/>
        <v/>
      </c>
      <c r="Q56" s="309" t="str">
        <f t="shared" ref="Q56" si="16">IF(B56="", "", IF(D56="MWh/yr (LHV)", "Enter data here", "Use column to left"))</f>
        <v/>
      </c>
      <c r="R56" s="309"/>
      <c r="S56" s="383" t="str">
        <f t="shared" si="13"/>
        <v>Unfilled fields to left</v>
      </c>
      <c r="U56" s="21"/>
    </row>
    <row r="57" spans="2:22" s="14" customFormat="1">
      <c r="B57" s="71"/>
      <c r="C57" s="72"/>
      <c r="D57" s="72"/>
      <c r="E57" s="146"/>
      <c r="F57" s="73"/>
      <c r="G57" s="73"/>
      <c r="H57" s="74"/>
      <c r="I57" s="74"/>
      <c r="J57" s="76"/>
      <c r="K57" s="76"/>
      <c r="L57" s="76"/>
      <c r="M57" s="12"/>
      <c r="N57" s="12"/>
      <c r="O57" s="12"/>
      <c r="P57" s="76"/>
      <c r="Q57" s="76"/>
      <c r="R57" s="76"/>
      <c r="S57" s="146"/>
      <c r="U57" s="73"/>
    </row>
    <row r="58" spans="2:22" s="14" customFormat="1" ht="15.6">
      <c r="B58" s="149" t="s">
        <v>617</v>
      </c>
      <c r="C58" s="163"/>
      <c r="D58" s="163"/>
      <c r="E58" s="527"/>
      <c r="F58" s="164"/>
      <c r="G58" s="165"/>
      <c r="H58" s="164"/>
      <c r="I58" s="164"/>
      <c r="J58" s="314"/>
      <c r="K58" s="314"/>
      <c r="L58" s="314"/>
      <c r="M58" s="166"/>
      <c r="N58" s="167"/>
      <c r="O58" s="156"/>
      <c r="P58" s="314" t="s">
        <v>880</v>
      </c>
      <c r="Q58" s="314"/>
      <c r="R58" s="314"/>
      <c r="S58" s="175">
        <f>SUM(S59:S61)</f>
        <v>0</v>
      </c>
      <c r="U58" s="73"/>
    </row>
    <row r="59" spans="2:22" s="14" customFormat="1">
      <c r="B59" s="190" t="s">
        <v>811</v>
      </c>
      <c r="C59" s="188" t="s">
        <v>812</v>
      </c>
      <c r="D59" s="183" t="s">
        <v>582</v>
      </c>
      <c r="E59" s="35">
        <f>(E44+E46)*$E$76*(1-$E$77)</f>
        <v>0</v>
      </c>
      <c r="F59" s="66"/>
      <c r="G59" s="66"/>
      <c r="H59" s="66"/>
      <c r="I59" s="66"/>
      <c r="J59" s="311"/>
      <c r="K59" s="313"/>
      <c r="L59" s="247">
        <f>IF($D59="MWh/yr (LHV)",$E59,$J59*$E59/Conversion_kWh_to_MJ)</f>
        <v>0</v>
      </c>
      <c r="M59" s="12"/>
      <c r="N59" s="12"/>
      <c r="O59" s="12"/>
      <c r="P59" s="310">
        <v>-1000</v>
      </c>
      <c r="Q59" s="505"/>
      <c r="R59" s="35" t="s">
        <v>802</v>
      </c>
      <c r="S59" s="269" t="str">
        <f>IFERROR(IF(D59="tonnes/yr", $P59*$E59/($L$9*3.6), $Q59*$E59*3.6/($L$9*3.6)), "Unfilled fields to left")</f>
        <v>Unfilled fields to left</v>
      </c>
      <c r="U59" s="21"/>
    </row>
    <row r="60" spans="2:22" s="14" customFormat="1">
      <c r="B60" s="190" t="s">
        <v>811</v>
      </c>
      <c r="C60" s="188" t="s">
        <v>816</v>
      </c>
      <c r="D60" s="183" t="s">
        <v>582</v>
      </c>
      <c r="E60" s="35">
        <f>(E45+E47)*$E$76*(1-$E$77)</f>
        <v>0</v>
      </c>
      <c r="F60" s="21"/>
      <c r="G60" s="21"/>
      <c r="H60" s="66"/>
      <c r="I60" s="66"/>
      <c r="J60" s="311"/>
      <c r="K60" s="313"/>
      <c r="L60" s="247">
        <f>IF($D60="MWh/yr (LHV)",$E60,$J60*$E60/Conversion_kWh_to_MJ)</f>
        <v>0</v>
      </c>
      <c r="M60" s="19"/>
      <c r="N60" s="19"/>
      <c r="O60" s="19"/>
      <c r="P60" s="35">
        <v>-1000</v>
      </c>
      <c r="Q60" s="546"/>
      <c r="R60" s="35" t="s">
        <v>828</v>
      </c>
      <c r="S60" s="269" t="str">
        <f>IFERROR(IF(D60="tonnes/yr", $P60*$E60/($L$9*3.6), $Q60*$E60*3.6/($L$9*3.6)), "Unfilled fields to left")</f>
        <v>Unfilled fields to left</v>
      </c>
      <c r="U60" s="68"/>
    </row>
    <row r="61" spans="2:22" s="14" customFormat="1">
      <c r="B61" s="67"/>
      <c r="C61" s="15"/>
      <c r="D61" s="183"/>
      <c r="E61" s="35"/>
      <c r="F61" s="21"/>
      <c r="G61" s="21"/>
      <c r="H61" s="21"/>
      <c r="I61" s="21"/>
      <c r="J61" s="313"/>
      <c r="K61" s="313"/>
      <c r="L61" s="247">
        <f>IF($D61="MWh/yr (LHV)",$E61,$J61*$E61/Conversion_kWh_to_MJ)</f>
        <v>0</v>
      </c>
      <c r="M61" s="19"/>
      <c r="N61" s="19"/>
      <c r="O61" s="19"/>
      <c r="P61" s="315"/>
      <c r="Q61" s="505"/>
      <c r="R61" s="309"/>
      <c r="S61" s="269" t="str">
        <f>IFERROR(IF(D61="tonnes/yr", $P61*$E61/($L$9*3.6), $Q61*$E61*3.6/($L$9*3.6)), "Unfilled fields to left")</f>
        <v>Unfilled fields to left</v>
      </c>
      <c r="U61" s="68"/>
    </row>
    <row r="62" spans="2:22" s="14" customFormat="1">
      <c r="B62" s="71"/>
      <c r="C62" s="72"/>
      <c r="D62" s="72"/>
      <c r="E62" s="146"/>
      <c r="F62" s="73"/>
      <c r="G62" s="73"/>
      <c r="H62" s="74"/>
      <c r="I62" s="74"/>
      <c r="J62" s="76"/>
      <c r="K62" s="76"/>
      <c r="L62" s="76"/>
      <c r="M62" s="12"/>
      <c r="N62" s="12"/>
      <c r="O62" s="12"/>
      <c r="P62" s="76"/>
      <c r="Q62" s="76"/>
      <c r="R62" s="76"/>
      <c r="S62" s="146"/>
      <c r="U62" s="73"/>
    </row>
    <row r="63" spans="2:22" s="14" customFormat="1" ht="15.6">
      <c r="B63" s="149" t="s">
        <v>93</v>
      </c>
      <c r="C63" s="163"/>
      <c r="D63" s="163"/>
      <c r="E63" s="527"/>
      <c r="F63" s="164"/>
      <c r="G63" s="165"/>
      <c r="H63" s="164"/>
      <c r="I63" s="164"/>
      <c r="J63" s="314"/>
      <c r="K63" s="314"/>
      <c r="L63" s="314"/>
      <c r="M63" s="166"/>
      <c r="N63" s="167"/>
      <c r="O63" s="156"/>
      <c r="P63" s="314" t="s">
        <v>868</v>
      </c>
      <c r="Q63" s="314"/>
      <c r="R63" s="314"/>
      <c r="S63" s="175">
        <f>SUM(S64:S71)</f>
        <v>0</v>
      </c>
      <c r="U63" s="73"/>
    </row>
    <row r="64" spans="2:22" s="14" customFormat="1">
      <c r="B64" s="190" t="s">
        <v>618</v>
      </c>
      <c r="C64" s="188" t="s">
        <v>823</v>
      </c>
      <c r="D64" s="183" t="s">
        <v>582</v>
      </c>
      <c r="E64" s="35"/>
      <c r="F64" s="21"/>
      <c r="G64" s="21"/>
      <c r="H64" s="21"/>
      <c r="I64" s="21"/>
      <c r="J64" s="313"/>
      <c r="K64" s="313"/>
      <c r="L64" s="247">
        <f t="shared" ref="L64:L71" si="17">IF($D64="MWh/yr (LHV)",$E64,$J64*$E64/Conversion_kWh_to_MJ)</f>
        <v>0</v>
      </c>
      <c r="M64" s="12"/>
      <c r="N64" s="12"/>
      <c r="O64" s="12"/>
      <c r="P64" s="35">
        <v>28000</v>
      </c>
      <c r="Q64" s="546"/>
      <c r="R64" s="35" t="s">
        <v>651</v>
      </c>
      <c r="S64" s="269" t="str">
        <f t="shared" ref="S64:S71" si="18">IFERROR(IF(D64="tonnes/yr", $P64*$E64/($L$9*3.6), $Q64*$E64*3.6/($L$9*3.6)), "Unfilled fields to left")</f>
        <v>Unfilled fields to left</v>
      </c>
      <c r="U64" s="21"/>
    </row>
    <row r="65" spans="2:22" s="14" customFormat="1">
      <c r="B65" s="191" t="s">
        <v>619</v>
      </c>
      <c r="C65" s="188" t="s">
        <v>824</v>
      </c>
      <c r="D65" s="183" t="s">
        <v>582</v>
      </c>
      <c r="E65" s="35"/>
      <c r="F65" s="68"/>
      <c r="G65" s="68"/>
      <c r="H65" s="69"/>
      <c r="I65" s="69"/>
      <c r="J65" s="315"/>
      <c r="K65" s="315"/>
      <c r="L65" s="247">
        <f t="shared" si="17"/>
        <v>0</v>
      </c>
      <c r="M65" s="19"/>
      <c r="N65" s="19"/>
      <c r="O65" s="19"/>
      <c r="P65" s="35">
        <v>265000</v>
      </c>
      <c r="Q65" s="546"/>
      <c r="R65" s="511" t="s">
        <v>651</v>
      </c>
      <c r="S65" s="269" t="str">
        <f t="shared" si="18"/>
        <v>Unfilled fields to left</v>
      </c>
      <c r="U65" s="68"/>
    </row>
    <row r="66" spans="2:22" s="14" customFormat="1">
      <c r="B66" s="191" t="s">
        <v>620</v>
      </c>
      <c r="C66" s="188" t="s">
        <v>825</v>
      </c>
      <c r="D66" s="183" t="s">
        <v>582</v>
      </c>
      <c r="E66" s="35"/>
      <c r="F66" s="68"/>
      <c r="G66" s="68"/>
      <c r="H66" s="69"/>
      <c r="I66" s="69"/>
      <c r="J66" s="315"/>
      <c r="K66" s="315"/>
      <c r="L66" s="247">
        <f t="shared" si="17"/>
        <v>0</v>
      </c>
      <c r="M66" s="19"/>
      <c r="N66" s="19"/>
      <c r="O66" s="19"/>
      <c r="P66" s="35">
        <v>23500000</v>
      </c>
      <c r="Q66" s="546"/>
      <c r="R66" s="511" t="s">
        <v>651</v>
      </c>
      <c r="S66" s="269" t="str">
        <f t="shared" si="18"/>
        <v>Unfilled fields to left</v>
      </c>
      <c r="U66" s="68"/>
    </row>
    <row r="67" spans="2:22" s="14" customFormat="1">
      <c r="B67" s="191" t="s">
        <v>621</v>
      </c>
      <c r="C67" s="188" t="s">
        <v>826</v>
      </c>
      <c r="D67" s="183" t="s">
        <v>582</v>
      </c>
      <c r="E67" s="35"/>
      <c r="F67" s="68"/>
      <c r="G67" s="68"/>
      <c r="H67" s="69"/>
      <c r="I67" s="69"/>
      <c r="J67" s="315"/>
      <c r="K67" s="315"/>
      <c r="L67" s="247">
        <f t="shared" si="17"/>
        <v>0</v>
      </c>
      <c r="M67" s="19"/>
      <c r="N67" s="19"/>
      <c r="O67" s="19"/>
      <c r="P67" s="547" t="s">
        <v>622</v>
      </c>
      <c r="Q67" s="546"/>
      <c r="R67" s="511"/>
      <c r="S67" s="269" t="str">
        <f t="shared" si="18"/>
        <v>Unfilled fields to left</v>
      </c>
      <c r="U67" s="68"/>
    </row>
    <row r="68" spans="2:22" s="14" customFormat="1">
      <c r="B68" s="191" t="s">
        <v>621</v>
      </c>
      <c r="C68" s="188" t="s">
        <v>826</v>
      </c>
      <c r="D68" s="183" t="s">
        <v>582</v>
      </c>
      <c r="E68" s="35"/>
      <c r="F68" s="68"/>
      <c r="G68" s="68"/>
      <c r="H68" s="69"/>
      <c r="I68" s="69"/>
      <c r="J68" s="315"/>
      <c r="K68" s="315"/>
      <c r="L68" s="247">
        <f t="shared" si="17"/>
        <v>0</v>
      </c>
      <c r="M68" s="19"/>
      <c r="N68" s="19"/>
      <c r="O68" s="19"/>
      <c r="P68" s="547" t="s">
        <v>622</v>
      </c>
      <c r="Q68" s="546"/>
      <c r="R68" s="511"/>
      <c r="S68" s="269" t="str">
        <f t="shared" si="18"/>
        <v>Unfilled fields to left</v>
      </c>
      <c r="U68" s="68"/>
    </row>
    <row r="69" spans="2:22" s="14" customFormat="1">
      <c r="B69" s="191" t="s">
        <v>621</v>
      </c>
      <c r="C69" s="188" t="s">
        <v>826</v>
      </c>
      <c r="D69" s="183" t="s">
        <v>582</v>
      </c>
      <c r="E69" s="35"/>
      <c r="F69" s="68"/>
      <c r="G69" s="68"/>
      <c r="H69" s="69"/>
      <c r="I69" s="69"/>
      <c r="J69" s="315"/>
      <c r="K69" s="315"/>
      <c r="L69" s="247">
        <f t="shared" si="17"/>
        <v>0</v>
      </c>
      <c r="M69" s="19"/>
      <c r="N69" s="19"/>
      <c r="O69" s="19"/>
      <c r="P69" s="547" t="s">
        <v>622</v>
      </c>
      <c r="Q69" s="546"/>
      <c r="R69" s="511"/>
      <c r="S69" s="269" t="str">
        <f t="shared" si="18"/>
        <v>Unfilled fields to left</v>
      </c>
      <c r="U69" s="68"/>
    </row>
    <row r="70" spans="2:22" s="14" customFormat="1">
      <c r="B70" s="67"/>
      <c r="C70" s="15"/>
      <c r="D70" s="184"/>
      <c r="E70" s="528"/>
      <c r="F70" s="68"/>
      <c r="G70" s="68"/>
      <c r="H70" s="69"/>
      <c r="I70" s="69"/>
      <c r="J70" s="315"/>
      <c r="K70" s="315"/>
      <c r="L70" s="247">
        <f t="shared" si="17"/>
        <v>0</v>
      </c>
      <c r="M70" s="19"/>
      <c r="N70" s="19"/>
      <c r="O70" s="19"/>
      <c r="P70" s="309"/>
      <c r="Q70" s="505"/>
      <c r="R70" s="315"/>
      <c r="S70" s="269" t="str">
        <f t="shared" si="18"/>
        <v>Unfilled fields to left</v>
      </c>
      <c r="U70" s="68"/>
    </row>
    <row r="71" spans="2:22" s="14" customFormat="1">
      <c r="B71" s="67"/>
      <c r="C71" s="15"/>
      <c r="D71" s="184"/>
      <c r="E71" s="528"/>
      <c r="F71" s="68"/>
      <c r="G71" s="68"/>
      <c r="H71" s="69"/>
      <c r="I71" s="69"/>
      <c r="J71" s="315"/>
      <c r="K71" s="315"/>
      <c r="L71" s="247">
        <f t="shared" si="17"/>
        <v>0</v>
      </c>
      <c r="M71" s="19"/>
      <c r="N71" s="19"/>
      <c r="O71" s="19"/>
      <c r="P71" s="309"/>
      <c r="Q71" s="505"/>
      <c r="R71" s="315"/>
      <c r="S71" s="269" t="str">
        <f t="shared" si="18"/>
        <v>Unfilled fields to left</v>
      </c>
      <c r="U71" s="68"/>
    </row>
    <row r="72" spans="2:22">
      <c r="C72" s="17"/>
      <c r="D72" s="17"/>
      <c r="E72" s="144"/>
      <c r="F72" s="17"/>
      <c r="H72" s="18"/>
      <c r="I72" s="18"/>
      <c r="J72" s="40"/>
      <c r="K72" s="40"/>
      <c r="L72" s="40"/>
      <c r="M72" s="12"/>
      <c r="P72" s="40"/>
      <c r="Q72" s="40"/>
      <c r="R72" s="40"/>
      <c r="S72" s="144"/>
      <c r="V72" s="12"/>
    </row>
    <row r="73" spans="2:22">
      <c r="E73" s="117"/>
      <c r="I73" s="12"/>
      <c r="J73" s="110"/>
      <c r="K73" s="110"/>
      <c r="L73" s="110"/>
      <c r="M73" s="12"/>
      <c r="P73" s="39"/>
      <c r="Q73" s="39"/>
      <c r="R73" s="38" t="s">
        <v>641</v>
      </c>
      <c r="S73" s="175">
        <f>SUM(S19,S31,S43,S50,S58,S63)</f>
        <v>0</v>
      </c>
      <c r="V73" s="12"/>
    </row>
    <row r="74" spans="2:22">
      <c r="B74" s="149" t="s">
        <v>94</v>
      </c>
      <c r="C74" s="163"/>
      <c r="D74" s="163"/>
      <c r="E74" s="527"/>
      <c r="I74" s="12"/>
      <c r="J74" s="110"/>
      <c r="K74" s="110"/>
      <c r="L74" s="110"/>
      <c r="M74" s="12"/>
      <c r="P74" s="110"/>
      <c r="Q74" s="110"/>
      <c r="R74" s="110"/>
      <c r="S74" s="12"/>
      <c r="V74" s="12"/>
    </row>
    <row r="75" spans="2:22">
      <c r="B75" s="16" t="s">
        <v>626</v>
      </c>
      <c r="C75" s="15" t="s">
        <v>627</v>
      </c>
      <c r="D75" s="15" t="s">
        <v>628</v>
      </c>
      <c r="E75" s="529"/>
      <c r="G75" s="19"/>
      <c r="H75" s="12"/>
      <c r="I75" s="12"/>
      <c r="J75" s="110"/>
      <c r="K75" s="110"/>
      <c r="L75" s="110"/>
      <c r="M75" s="12"/>
      <c r="P75" s="110"/>
      <c r="Q75" s="110"/>
      <c r="R75" s="110"/>
      <c r="S75" s="12"/>
      <c r="U75" s="25"/>
      <c r="V75" s="12"/>
    </row>
    <row r="76" spans="2:22">
      <c r="B76" s="16" t="s">
        <v>642</v>
      </c>
      <c r="C76" s="15" t="s">
        <v>652</v>
      </c>
      <c r="D76" s="15" t="s">
        <v>497</v>
      </c>
      <c r="E76" s="539">
        <f>Initial_questions!$E$85</f>
        <v>0</v>
      </c>
      <c r="I76" s="12"/>
      <c r="J76" s="110"/>
      <c r="K76" s="110"/>
      <c r="L76" s="110"/>
      <c r="M76" s="12"/>
      <c r="P76" s="110"/>
      <c r="Q76" s="110"/>
      <c r="R76" s="110"/>
      <c r="S76" s="12"/>
      <c r="U76" s="25"/>
      <c r="V76" s="12"/>
    </row>
    <row r="77" spans="2:22">
      <c r="B77" s="16" t="s">
        <v>654</v>
      </c>
      <c r="C77" s="15" t="s">
        <v>655</v>
      </c>
      <c r="D77" s="15" t="s">
        <v>497</v>
      </c>
      <c r="E77" s="539"/>
      <c r="I77" s="12"/>
      <c r="J77" s="110"/>
      <c r="K77" s="110"/>
      <c r="L77" s="110"/>
      <c r="M77" s="12"/>
      <c r="P77" s="110"/>
      <c r="Q77" s="110"/>
      <c r="R77" s="110"/>
      <c r="S77" s="12"/>
      <c r="U77" s="25"/>
      <c r="V77" s="12"/>
    </row>
    <row r="78" spans="2:22">
      <c r="B78" s="16"/>
      <c r="C78" s="15"/>
      <c r="D78" s="15"/>
      <c r="E78" s="529"/>
      <c r="H78" s="12"/>
      <c r="I78" s="12"/>
      <c r="J78" s="110"/>
      <c r="K78" s="110"/>
      <c r="L78" s="110"/>
      <c r="M78" s="12"/>
      <c r="P78" s="39"/>
      <c r="Q78" s="39"/>
      <c r="R78" s="39"/>
      <c r="U78" s="25"/>
    </row>
    <row r="79" spans="2:22">
      <c r="E79" s="117"/>
      <c r="H79" s="12"/>
      <c r="I79" s="12"/>
      <c r="J79" s="110"/>
      <c r="K79" s="110"/>
      <c r="L79" s="110"/>
      <c r="M79" s="12"/>
      <c r="P79" s="39"/>
      <c r="Q79" s="39"/>
      <c r="R79" s="39"/>
    </row>
    <row r="80" spans="2:22">
      <c r="E80" s="117"/>
      <c r="J80" s="39"/>
      <c r="K80" s="39"/>
      <c r="P80" s="39"/>
      <c r="Q80" s="39"/>
      <c r="R80" s="39"/>
    </row>
    <row r="81" spans="5:18">
      <c r="E81" s="117"/>
      <c r="J81" s="39"/>
      <c r="K81" s="39"/>
      <c r="P81" s="39"/>
      <c r="Q81" s="39"/>
      <c r="R81" s="39"/>
    </row>
    <row r="82" spans="5:18">
      <c r="E82" s="117"/>
      <c r="J82" s="39"/>
      <c r="K82" s="39"/>
      <c r="P82" s="39"/>
      <c r="Q82" s="39"/>
      <c r="R82" s="39"/>
    </row>
    <row r="83" spans="5:18">
      <c r="E83" s="117"/>
      <c r="J83" s="39"/>
      <c r="K83" s="39"/>
      <c r="P83" s="39"/>
      <c r="Q83" s="39"/>
      <c r="R83" s="39"/>
    </row>
    <row r="84" spans="5:18">
      <c r="E84" s="117"/>
      <c r="J84" s="39"/>
      <c r="K84" s="39"/>
      <c r="P84" s="39"/>
      <c r="Q84" s="39"/>
      <c r="R84" s="39"/>
    </row>
    <row r="85" spans="5:18">
      <c r="E85" s="117"/>
      <c r="J85" s="39"/>
      <c r="K85" s="39"/>
      <c r="P85" s="39"/>
      <c r="Q85" s="39"/>
      <c r="R85" s="39"/>
    </row>
    <row r="86" spans="5:18">
      <c r="E86" s="117"/>
      <c r="J86" s="39"/>
      <c r="K86" s="39"/>
      <c r="P86" s="39"/>
      <c r="Q86" s="39"/>
      <c r="R86" s="39"/>
    </row>
    <row r="87" spans="5:18">
      <c r="E87" s="117"/>
      <c r="J87" s="39"/>
      <c r="K87" s="39"/>
      <c r="P87" s="39"/>
      <c r="Q87" s="39"/>
      <c r="R87" s="39"/>
    </row>
    <row r="88" spans="5:18">
      <c r="E88" s="117"/>
      <c r="J88" s="39"/>
      <c r="K88" s="39"/>
      <c r="P88" s="39"/>
      <c r="Q88" s="39"/>
      <c r="R88" s="39"/>
    </row>
    <row r="89" spans="5:18">
      <c r="E89" s="117"/>
      <c r="J89" s="39"/>
      <c r="K89" s="39"/>
      <c r="P89" s="39"/>
      <c r="Q89" s="39"/>
      <c r="R89" s="39"/>
    </row>
    <row r="90" spans="5:18">
      <c r="E90" s="117"/>
      <c r="J90" s="39"/>
      <c r="K90" s="39"/>
      <c r="P90" s="39"/>
      <c r="Q90" s="39"/>
      <c r="R90" s="39"/>
    </row>
    <row r="91" spans="5:18">
      <c r="E91" s="117"/>
      <c r="J91" s="39"/>
      <c r="K91" s="39"/>
      <c r="P91" s="39"/>
      <c r="Q91" s="39"/>
      <c r="R91" s="39"/>
    </row>
    <row r="92" spans="5:18">
      <c r="E92" s="117"/>
      <c r="J92" s="39"/>
      <c r="K92" s="39"/>
      <c r="P92" s="39"/>
      <c r="Q92" s="39"/>
      <c r="R92" s="39"/>
    </row>
    <row r="93" spans="5:18">
      <c r="E93" s="117"/>
      <c r="J93" s="39"/>
      <c r="K93" s="39"/>
      <c r="P93" s="39"/>
      <c r="Q93" s="39"/>
      <c r="R93" s="39"/>
    </row>
    <row r="94" spans="5:18">
      <c r="E94" s="117"/>
      <c r="J94" s="39"/>
      <c r="K94" s="39"/>
      <c r="P94" s="39"/>
      <c r="Q94" s="39"/>
      <c r="R94" s="39"/>
    </row>
    <row r="95" spans="5:18">
      <c r="E95" s="117"/>
      <c r="J95" s="39"/>
      <c r="K95" s="39"/>
      <c r="P95" s="39"/>
      <c r="Q95" s="39"/>
      <c r="R95" s="39"/>
    </row>
    <row r="96" spans="5:18">
      <c r="E96" s="117"/>
      <c r="J96" s="39"/>
      <c r="K96" s="39"/>
      <c r="P96" s="39"/>
      <c r="Q96" s="39"/>
      <c r="R96" s="39"/>
    </row>
    <row r="97" spans="5:18">
      <c r="E97" s="117"/>
      <c r="J97" s="39"/>
      <c r="K97" s="39"/>
      <c r="P97" s="39"/>
      <c r="Q97" s="39"/>
      <c r="R97" s="39"/>
    </row>
    <row r="98" spans="5:18">
      <c r="E98" s="117"/>
      <c r="J98" s="39"/>
      <c r="K98" s="39"/>
      <c r="P98" s="39"/>
      <c r="Q98" s="39"/>
      <c r="R98" s="39"/>
    </row>
    <row r="99" spans="5:18">
      <c r="E99" s="117"/>
      <c r="J99" s="39"/>
      <c r="K99" s="39"/>
      <c r="P99" s="39"/>
      <c r="Q99" s="39"/>
      <c r="R99" s="39"/>
    </row>
    <row r="100" spans="5:18">
      <c r="E100" s="117"/>
      <c r="J100" s="39"/>
      <c r="K100" s="39"/>
      <c r="P100" s="39"/>
      <c r="Q100" s="39"/>
      <c r="R100" s="39"/>
    </row>
    <row r="101" spans="5:18">
      <c r="E101" s="117"/>
      <c r="J101" s="39"/>
      <c r="K101" s="39"/>
      <c r="P101" s="39"/>
      <c r="Q101" s="39"/>
      <c r="R101" s="39"/>
    </row>
    <row r="102" spans="5:18">
      <c r="E102" s="117"/>
      <c r="J102" s="39"/>
      <c r="K102" s="39"/>
      <c r="P102" s="39"/>
      <c r="Q102" s="39"/>
      <c r="R102" s="39"/>
    </row>
    <row r="103" spans="5:18">
      <c r="E103" s="117"/>
      <c r="J103" s="39"/>
      <c r="K103" s="39"/>
      <c r="P103" s="39"/>
      <c r="Q103" s="39"/>
      <c r="R103" s="39"/>
    </row>
    <row r="104" spans="5:18">
      <c r="E104" s="117"/>
      <c r="J104" s="39"/>
      <c r="K104" s="39"/>
      <c r="P104" s="39"/>
      <c r="Q104" s="39"/>
      <c r="R104" s="39"/>
    </row>
    <row r="105" spans="5:18">
      <c r="E105" s="117"/>
      <c r="J105" s="39"/>
      <c r="K105" s="39"/>
      <c r="P105" s="39"/>
      <c r="Q105" s="39"/>
      <c r="R105" s="39"/>
    </row>
    <row r="106" spans="5:18">
      <c r="E106" s="117"/>
      <c r="J106" s="39"/>
      <c r="K106" s="39"/>
      <c r="P106" s="39"/>
      <c r="Q106" s="39"/>
      <c r="R106" s="39"/>
    </row>
    <row r="107" spans="5:18">
      <c r="E107" s="117"/>
      <c r="J107" s="39"/>
      <c r="K107" s="39"/>
      <c r="P107" s="39"/>
      <c r="Q107" s="39"/>
      <c r="R107" s="39"/>
    </row>
    <row r="108" spans="5:18">
      <c r="E108" s="117"/>
      <c r="J108" s="39"/>
      <c r="K108" s="39"/>
      <c r="P108" s="39"/>
      <c r="Q108" s="39"/>
      <c r="R108" s="39"/>
    </row>
    <row r="109" spans="5:18">
      <c r="E109" s="117"/>
      <c r="J109" s="39"/>
      <c r="K109" s="39"/>
      <c r="P109" s="39"/>
      <c r="Q109" s="39"/>
      <c r="R109" s="39"/>
    </row>
    <row r="110" spans="5:18">
      <c r="E110" s="117"/>
      <c r="J110" s="39"/>
      <c r="K110" s="39"/>
      <c r="P110" s="39"/>
      <c r="Q110" s="39"/>
      <c r="R110" s="39"/>
    </row>
    <row r="111" spans="5:18">
      <c r="E111" s="117"/>
      <c r="J111" s="39"/>
      <c r="K111" s="39"/>
      <c r="P111" s="39"/>
      <c r="Q111" s="39"/>
      <c r="R111" s="39"/>
    </row>
    <row r="112" spans="5:18">
      <c r="E112" s="117"/>
      <c r="J112" s="39"/>
      <c r="K112" s="39"/>
      <c r="P112" s="39"/>
      <c r="Q112" s="39"/>
      <c r="R112" s="39"/>
    </row>
    <row r="113" spans="5:18">
      <c r="E113" s="117"/>
      <c r="J113" s="39"/>
      <c r="K113" s="39"/>
      <c r="P113" s="39"/>
      <c r="Q113" s="39"/>
      <c r="R113" s="39"/>
    </row>
    <row r="114" spans="5:18">
      <c r="E114" s="117"/>
      <c r="J114" s="39"/>
      <c r="K114" s="39"/>
      <c r="P114" s="39"/>
      <c r="Q114" s="39"/>
      <c r="R114" s="39"/>
    </row>
    <row r="115" spans="5:18">
      <c r="E115" s="117"/>
      <c r="J115" s="39"/>
      <c r="K115" s="39"/>
      <c r="P115" s="39"/>
      <c r="Q115" s="39"/>
      <c r="R115" s="39"/>
    </row>
    <row r="116" spans="5:18">
      <c r="E116" s="117"/>
      <c r="J116" s="39"/>
      <c r="K116" s="39"/>
      <c r="P116" s="39"/>
      <c r="Q116" s="39"/>
      <c r="R116" s="39"/>
    </row>
    <row r="117" spans="5:18">
      <c r="E117" s="117"/>
      <c r="J117" s="39"/>
      <c r="K117" s="39"/>
      <c r="P117" s="39"/>
      <c r="Q117" s="39"/>
      <c r="R117" s="39"/>
    </row>
    <row r="118" spans="5:18">
      <c r="E118" s="117"/>
      <c r="J118" s="39"/>
      <c r="K118" s="39"/>
      <c r="P118" s="39"/>
      <c r="Q118" s="39"/>
      <c r="R118" s="39"/>
    </row>
    <row r="119" spans="5:18">
      <c r="E119" s="117"/>
      <c r="J119" s="39"/>
      <c r="K119" s="39"/>
      <c r="P119" s="39"/>
      <c r="Q119" s="39"/>
      <c r="R119" s="39"/>
    </row>
    <row r="120" spans="5:18">
      <c r="E120" s="117"/>
      <c r="J120" s="39"/>
      <c r="K120" s="39"/>
      <c r="P120" s="39"/>
      <c r="Q120" s="39"/>
      <c r="R120" s="39"/>
    </row>
    <row r="121" spans="5:18">
      <c r="E121" s="117"/>
      <c r="P121" s="39"/>
      <c r="Q121" s="39"/>
      <c r="R121" s="39"/>
    </row>
    <row r="122" spans="5:18">
      <c r="E122" s="117"/>
      <c r="P122" s="39"/>
      <c r="Q122" s="39"/>
      <c r="R122" s="39"/>
    </row>
    <row r="123" spans="5:18">
      <c r="E123" s="117"/>
      <c r="P123" s="39"/>
      <c r="Q123" s="39"/>
      <c r="R123" s="39"/>
    </row>
    <row r="124" spans="5:18">
      <c r="E124" s="117"/>
      <c r="P124" s="39"/>
      <c r="Q124" s="39"/>
      <c r="R124" s="39"/>
    </row>
    <row r="125" spans="5:18">
      <c r="E125" s="117"/>
      <c r="P125" s="39"/>
      <c r="Q125" s="39"/>
      <c r="R125" s="39"/>
    </row>
    <row r="126" spans="5:18">
      <c r="E126" s="117"/>
      <c r="P126" s="39"/>
      <c r="Q126" s="39"/>
      <c r="R126" s="39"/>
    </row>
    <row r="127" spans="5:18">
      <c r="E127" s="117"/>
      <c r="P127" s="39"/>
      <c r="Q127" s="39"/>
      <c r="R127" s="39"/>
    </row>
    <row r="128" spans="5:18">
      <c r="E128" s="117"/>
      <c r="P128" s="39"/>
      <c r="Q128" s="39"/>
      <c r="R128" s="39"/>
    </row>
    <row r="129" spans="5:18">
      <c r="E129" s="117"/>
      <c r="P129" s="39"/>
      <c r="Q129" s="39"/>
      <c r="R129" s="39"/>
    </row>
    <row r="130" spans="5:18">
      <c r="E130" s="117"/>
      <c r="P130" s="39"/>
      <c r="Q130" s="39"/>
      <c r="R130" s="39"/>
    </row>
    <row r="131" spans="5:18">
      <c r="E131" s="117"/>
      <c r="P131" s="39"/>
      <c r="Q131" s="39"/>
      <c r="R131" s="39"/>
    </row>
    <row r="132" spans="5:18">
      <c r="E132" s="117"/>
      <c r="P132" s="39"/>
      <c r="Q132" s="39"/>
      <c r="R132" s="39"/>
    </row>
    <row r="133" spans="5:18">
      <c r="E133" s="117"/>
      <c r="P133" s="39"/>
      <c r="Q133" s="39"/>
      <c r="R133" s="39"/>
    </row>
    <row r="134" spans="5:18">
      <c r="E134" s="117"/>
      <c r="P134" s="39"/>
      <c r="Q134" s="39"/>
      <c r="R134" s="39"/>
    </row>
    <row r="135" spans="5:18">
      <c r="E135" s="117"/>
      <c r="P135" s="39"/>
      <c r="Q135" s="39"/>
      <c r="R135" s="39"/>
    </row>
    <row r="136" spans="5:18">
      <c r="E136" s="117"/>
      <c r="P136" s="39"/>
      <c r="Q136" s="39"/>
      <c r="R136" s="39"/>
    </row>
    <row r="137" spans="5:18">
      <c r="E137" s="117"/>
      <c r="P137" s="39"/>
      <c r="Q137" s="39"/>
      <c r="R137" s="39"/>
    </row>
    <row r="138" spans="5:18">
      <c r="E138" s="117"/>
      <c r="P138" s="39"/>
      <c r="Q138" s="39"/>
      <c r="R138" s="39"/>
    </row>
    <row r="139" spans="5:18">
      <c r="E139" s="117"/>
      <c r="P139" s="39"/>
      <c r="Q139" s="39"/>
      <c r="R139" s="39"/>
    </row>
    <row r="140" spans="5:18">
      <c r="E140" s="117"/>
      <c r="P140" s="39"/>
      <c r="Q140" s="39"/>
      <c r="R140" s="39"/>
    </row>
    <row r="141" spans="5:18">
      <c r="E141" s="117"/>
      <c r="P141" s="39"/>
      <c r="Q141" s="39"/>
      <c r="R141" s="39"/>
    </row>
    <row r="142" spans="5:18">
      <c r="E142" s="117"/>
      <c r="P142" s="39"/>
      <c r="Q142" s="39"/>
      <c r="R142" s="39"/>
    </row>
    <row r="143" spans="5:18">
      <c r="E143" s="117"/>
      <c r="P143" s="39"/>
      <c r="Q143" s="39"/>
      <c r="R143" s="39"/>
    </row>
    <row r="144" spans="5:18">
      <c r="E144" s="117"/>
      <c r="P144" s="39"/>
      <c r="Q144" s="39"/>
      <c r="R144" s="39"/>
    </row>
    <row r="145" spans="5:18">
      <c r="E145" s="117"/>
      <c r="P145" s="39"/>
      <c r="Q145" s="39"/>
      <c r="R145" s="39"/>
    </row>
    <row r="146" spans="5:18">
      <c r="E146" s="262"/>
      <c r="P146" s="39"/>
      <c r="Q146" s="39"/>
      <c r="R146" s="39"/>
    </row>
    <row r="147" spans="5:18">
      <c r="E147" s="262"/>
      <c r="P147" s="39"/>
      <c r="Q147" s="39"/>
      <c r="R147" s="39"/>
    </row>
    <row r="148" spans="5:18">
      <c r="E148" s="262"/>
      <c r="P148" s="39"/>
      <c r="Q148" s="39"/>
      <c r="R148" s="39"/>
    </row>
    <row r="149" spans="5:18">
      <c r="E149" s="262"/>
      <c r="P149" s="39"/>
      <c r="Q149" s="39"/>
      <c r="R149" s="39"/>
    </row>
    <row r="150" spans="5:18">
      <c r="E150" s="262"/>
      <c r="P150" s="39"/>
      <c r="Q150" s="39"/>
      <c r="R150" s="39"/>
    </row>
    <row r="151" spans="5:18">
      <c r="E151" s="262"/>
      <c r="P151" s="39"/>
      <c r="Q151" s="39"/>
      <c r="R151" s="39"/>
    </row>
    <row r="152" spans="5:18">
      <c r="E152" s="262"/>
      <c r="P152" s="39"/>
      <c r="Q152" s="39"/>
      <c r="R152" s="39"/>
    </row>
    <row r="153" spans="5:18">
      <c r="E153" s="262"/>
      <c r="P153" s="39"/>
      <c r="Q153" s="39"/>
      <c r="R153" s="39"/>
    </row>
    <row r="154" spans="5:18">
      <c r="E154" s="262"/>
      <c r="P154" s="39"/>
      <c r="Q154" s="39"/>
      <c r="R154" s="39"/>
    </row>
    <row r="155" spans="5:18">
      <c r="E155" s="262"/>
      <c r="P155" s="39"/>
      <c r="Q155" s="39"/>
      <c r="R155" s="39"/>
    </row>
    <row r="156" spans="5:18">
      <c r="E156" s="262"/>
      <c r="P156" s="39"/>
      <c r="Q156" s="39"/>
      <c r="R156" s="39"/>
    </row>
    <row r="157" spans="5:18">
      <c r="E157" s="262"/>
      <c r="P157" s="39"/>
      <c r="Q157" s="39"/>
      <c r="R157" s="39"/>
    </row>
    <row r="158" spans="5:18">
      <c r="E158" s="262"/>
      <c r="P158" s="39"/>
      <c r="Q158" s="39"/>
      <c r="R158" s="39"/>
    </row>
    <row r="159" spans="5:18">
      <c r="E159" s="262"/>
      <c r="P159" s="39"/>
      <c r="Q159" s="39"/>
      <c r="R159" s="39"/>
    </row>
    <row r="160" spans="5:18">
      <c r="E160" s="262"/>
      <c r="P160" s="39"/>
      <c r="Q160" s="39"/>
      <c r="R160" s="39"/>
    </row>
    <row r="161" spans="5:18">
      <c r="E161" s="262"/>
      <c r="P161" s="39"/>
      <c r="Q161" s="39"/>
      <c r="R161" s="39"/>
    </row>
    <row r="162" spans="5:18">
      <c r="E162" s="262"/>
      <c r="P162" s="39"/>
      <c r="Q162" s="39"/>
      <c r="R162" s="39"/>
    </row>
    <row r="163" spans="5:18">
      <c r="E163" s="262"/>
      <c r="P163" s="39"/>
      <c r="Q163" s="39"/>
      <c r="R163" s="39"/>
    </row>
    <row r="164" spans="5:18">
      <c r="E164" s="262"/>
      <c r="P164" s="39"/>
      <c r="Q164" s="39"/>
      <c r="R164" s="39"/>
    </row>
    <row r="165" spans="5:18">
      <c r="E165" s="262"/>
      <c r="P165" s="39"/>
      <c r="Q165" s="39"/>
      <c r="R165" s="39"/>
    </row>
    <row r="166" spans="5:18">
      <c r="E166" s="262"/>
      <c r="P166" s="39"/>
      <c r="Q166" s="39"/>
      <c r="R166" s="39"/>
    </row>
    <row r="167" spans="5:18">
      <c r="E167" s="262"/>
      <c r="P167" s="39"/>
      <c r="Q167" s="39"/>
      <c r="R167" s="39"/>
    </row>
    <row r="168" spans="5:18">
      <c r="E168" s="262"/>
      <c r="P168" s="39"/>
      <c r="Q168" s="39"/>
      <c r="R168" s="39"/>
    </row>
    <row r="169" spans="5:18">
      <c r="E169" s="262"/>
      <c r="P169" s="39"/>
      <c r="Q169" s="39"/>
      <c r="R169" s="39"/>
    </row>
    <row r="170" spans="5:18">
      <c r="E170" s="262"/>
      <c r="P170" s="39"/>
      <c r="Q170" s="39"/>
      <c r="R170" s="39"/>
    </row>
    <row r="171" spans="5:18">
      <c r="E171" s="262"/>
      <c r="P171" s="39"/>
      <c r="Q171" s="39"/>
      <c r="R171" s="39"/>
    </row>
    <row r="172" spans="5:18">
      <c r="E172" s="262"/>
      <c r="P172" s="39"/>
      <c r="Q172" s="39"/>
      <c r="R172" s="39"/>
    </row>
    <row r="173" spans="5:18">
      <c r="E173" s="262"/>
      <c r="P173" s="39"/>
      <c r="Q173" s="39"/>
      <c r="R173" s="39"/>
    </row>
    <row r="174" spans="5:18">
      <c r="E174" s="262"/>
      <c r="P174" s="39"/>
      <c r="Q174" s="39"/>
      <c r="R174" s="39"/>
    </row>
    <row r="175" spans="5:18">
      <c r="E175" s="262"/>
      <c r="P175" s="39"/>
      <c r="Q175" s="39"/>
      <c r="R175" s="39"/>
    </row>
    <row r="176" spans="5:18">
      <c r="E176" s="262"/>
      <c r="P176" s="39"/>
      <c r="Q176" s="39"/>
      <c r="R176" s="39"/>
    </row>
    <row r="177" spans="5:18">
      <c r="E177" s="262"/>
      <c r="P177" s="39"/>
      <c r="Q177" s="39"/>
      <c r="R177" s="39"/>
    </row>
    <row r="178" spans="5:18">
      <c r="E178" s="262"/>
      <c r="P178" s="39"/>
      <c r="Q178" s="39"/>
      <c r="R178" s="39"/>
    </row>
    <row r="179" spans="5:18">
      <c r="E179" s="262"/>
      <c r="P179" s="39"/>
      <c r="Q179" s="39"/>
      <c r="R179" s="39"/>
    </row>
    <row r="180" spans="5:18">
      <c r="E180" s="262"/>
      <c r="P180" s="39"/>
      <c r="Q180" s="39"/>
      <c r="R180" s="39"/>
    </row>
    <row r="181" spans="5:18">
      <c r="E181" s="262"/>
      <c r="P181" s="39"/>
      <c r="Q181" s="39"/>
      <c r="R181" s="39"/>
    </row>
    <row r="182" spans="5:18">
      <c r="E182" s="262"/>
      <c r="P182" s="39"/>
      <c r="Q182" s="39"/>
      <c r="R182" s="39"/>
    </row>
    <row r="183" spans="5:18">
      <c r="E183" s="262"/>
      <c r="P183" s="39"/>
      <c r="Q183" s="39"/>
      <c r="R183" s="39"/>
    </row>
    <row r="184" spans="5:18">
      <c r="E184" s="262"/>
      <c r="P184" s="39"/>
      <c r="Q184" s="39"/>
      <c r="R184" s="39"/>
    </row>
    <row r="185" spans="5:18">
      <c r="E185" s="262"/>
      <c r="P185" s="39"/>
      <c r="Q185" s="39"/>
      <c r="R185" s="39"/>
    </row>
    <row r="186" spans="5:18">
      <c r="E186" s="262"/>
      <c r="P186" s="39"/>
      <c r="Q186" s="39"/>
      <c r="R186" s="39"/>
    </row>
    <row r="187" spans="5:18">
      <c r="E187" s="262"/>
      <c r="P187" s="39"/>
      <c r="Q187" s="39"/>
      <c r="R187" s="39"/>
    </row>
    <row r="188" spans="5:18">
      <c r="E188" s="262"/>
    </row>
    <row r="189" spans="5:18">
      <c r="E189" s="262"/>
    </row>
    <row r="190" spans="5:18">
      <c r="E190" s="262"/>
    </row>
    <row r="191" spans="5:18">
      <c r="E191" s="262"/>
    </row>
    <row r="192" spans="5:18">
      <c r="E192" s="262"/>
    </row>
    <row r="193" spans="5:5">
      <c r="E193" s="262"/>
    </row>
    <row r="194" spans="5:5">
      <c r="E194" s="262"/>
    </row>
    <row r="195" spans="5:5">
      <c r="E195" s="262"/>
    </row>
    <row r="196" spans="5:5">
      <c r="E196" s="262"/>
    </row>
    <row r="197" spans="5:5">
      <c r="E197" s="262"/>
    </row>
    <row r="198" spans="5:5">
      <c r="E198" s="262"/>
    </row>
    <row r="199" spans="5:5">
      <c r="E199" s="262"/>
    </row>
    <row r="200" spans="5:5">
      <c r="E200" s="262"/>
    </row>
    <row r="201" spans="5:5">
      <c r="E201" s="262"/>
    </row>
    <row r="202" spans="5:5">
      <c r="E202" s="262"/>
    </row>
    <row r="203" spans="5:5">
      <c r="E203" s="262"/>
    </row>
    <row r="204" spans="5:5">
      <c r="E204" s="262"/>
    </row>
    <row r="205" spans="5:5">
      <c r="E205" s="262"/>
    </row>
    <row r="206" spans="5:5">
      <c r="E206" s="262"/>
    </row>
    <row r="207" spans="5:5">
      <c r="E207" s="262"/>
    </row>
    <row r="208" spans="5:5">
      <c r="E208" s="262"/>
    </row>
    <row r="209" spans="5:5">
      <c r="E209" s="262"/>
    </row>
    <row r="210" spans="5:5">
      <c r="E210" s="262"/>
    </row>
    <row r="211" spans="5:5">
      <c r="E211" s="262"/>
    </row>
    <row r="212" spans="5:5">
      <c r="E212" s="262"/>
    </row>
    <row r="213" spans="5:5">
      <c r="E213" s="262"/>
    </row>
    <row r="214" spans="5:5">
      <c r="E214" s="262"/>
    </row>
    <row r="215" spans="5:5">
      <c r="E215" s="262"/>
    </row>
    <row r="216" spans="5:5">
      <c r="E216" s="262"/>
    </row>
    <row r="217" spans="5:5">
      <c r="E217" s="262"/>
    </row>
    <row r="218" spans="5:5">
      <c r="E218" s="262"/>
    </row>
    <row r="219" spans="5:5">
      <c r="E219" s="262"/>
    </row>
    <row r="220" spans="5:5">
      <c r="E220" s="262"/>
    </row>
    <row r="221" spans="5:5">
      <c r="E221" s="262"/>
    </row>
    <row r="222" spans="5:5">
      <c r="E222" s="262"/>
    </row>
    <row r="223" spans="5:5">
      <c r="E223" s="262"/>
    </row>
    <row r="224" spans="5:5">
      <c r="E224" s="262"/>
    </row>
    <row r="225" spans="5:5">
      <c r="E225" s="262"/>
    </row>
    <row r="226" spans="5:5">
      <c r="E226" s="262"/>
    </row>
    <row r="227" spans="5:5">
      <c r="E227" s="262"/>
    </row>
    <row r="228" spans="5:5">
      <c r="E228" s="262"/>
    </row>
    <row r="229" spans="5:5">
      <c r="E229" s="262"/>
    </row>
    <row r="230" spans="5:5">
      <c r="E230" s="262"/>
    </row>
    <row r="231" spans="5:5">
      <c r="E231" s="262"/>
    </row>
    <row r="232" spans="5:5">
      <c r="E232" s="262"/>
    </row>
    <row r="233" spans="5:5">
      <c r="E233" s="262"/>
    </row>
    <row r="234" spans="5:5">
      <c r="E234" s="262"/>
    </row>
    <row r="235" spans="5:5">
      <c r="E235" s="262"/>
    </row>
    <row r="236" spans="5:5">
      <c r="E236" s="262"/>
    </row>
    <row r="237" spans="5:5">
      <c r="E237" s="262"/>
    </row>
    <row r="238" spans="5:5">
      <c r="E238" s="262"/>
    </row>
    <row r="239" spans="5:5">
      <c r="E239" s="262"/>
    </row>
    <row r="240" spans="5:5">
      <c r="E240" s="262"/>
    </row>
    <row r="241" spans="5:5">
      <c r="E241" s="262"/>
    </row>
    <row r="242" spans="5:5">
      <c r="E242" s="262"/>
    </row>
  </sheetData>
  <customSheetViews>
    <customSheetView guid="{43B6AE9C-E429-4506-98F3-C388B54AB8B6}" showGridLines="0" state="hidden">
      <pane xSplit="3" ySplit="5" topLeftCell="D6" activePane="bottomRight" state="frozen"/>
      <selection pane="bottomRight" activeCell="D1" sqref="D1"/>
      <pageMargins left="0" right="0" top="0" bottom="0" header="0" footer="0"/>
    </customSheetView>
    <customSheetView guid="{D41C0D8C-591E-4B34-99B3-B45BA51A58EC}" showGridLines="0">
      <pane xSplit="3" ySplit="5" topLeftCell="D6" activePane="bottomRight" state="frozen"/>
      <selection pane="bottomRight" activeCell="D1" sqref="D1"/>
      <pageMargins left="0" right="0" top="0" bottom="0" header="0" footer="0"/>
    </customSheetView>
    <customSheetView guid="{8F590910-6C03-4233-9C41-6540BF2DE453}" showGridLines="0" state="hidden">
      <pane xSplit="3" ySplit="5" topLeftCell="D6" activePane="bottomRight" state="frozen"/>
      <selection pane="bottomRight" activeCell="D1" sqref="D1"/>
      <pageMargins left="0" right="0" top="0" bottom="0" header="0" footer="0"/>
    </customSheetView>
    <customSheetView guid="{55CEC4CC-9BBF-4F2D-BA17-E94F4B26FAC5}" showGridLines="0" state="hidden">
      <pane xSplit="3" ySplit="5" topLeftCell="D6" activePane="bottomRight" state="frozen"/>
      <selection pane="bottomRight" activeCell="D1" sqref="D1"/>
      <pageMargins left="0" right="0" top="0" bottom="0" header="0" footer="0"/>
    </customSheetView>
    <customSheetView guid="{7735C88E-3A13-4DCF-BB32-4D20A306A8BB}" showGridLines="0" state="hidden">
      <pane xSplit="3" ySplit="5" topLeftCell="D6" activePane="bottomRight" state="frozen"/>
      <selection pane="bottomRight" activeCell="D1" sqref="D1"/>
      <pageMargins left="0" right="0" top="0" bottom="0" header="0" footer="0"/>
    </customSheetView>
    <customSheetView guid="{27B9E3C6-8189-41E0-896B-02A30393FDC0}" showGridLines="0" state="hidden">
      <pane xSplit="3" ySplit="5" topLeftCell="D6" activePane="bottomRight" state="frozen"/>
      <selection pane="bottomRight" activeCell="D1" sqref="D1"/>
      <pageMargins left="0" right="0" top="0" bottom="0" header="0" footer="0"/>
    </customSheetView>
    <customSheetView guid="{ED9AC919-98EB-43A3-A158-23FD7D007D30}" showGridLines="0">
      <pane xSplit="3" ySplit="5" topLeftCell="D6" activePane="bottomRight" state="frozen"/>
      <selection pane="bottomRight" activeCell="D1" sqref="D1"/>
      <pageMargins left="0" right="0" top="0" bottom="0" header="0" footer="0"/>
    </customSheetView>
  </customSheetViews>
  <mergeCells count="1">
    <mergeCell ref="I2:K2"/>
  </mergeCells>
  <dataValidations count="2">
    <dataValidation type="list" allowBlank="1" showInputMessage="1" showErrorMessage="1" sqref="D64:D71 D59:D61 D32:D41 D44:D49 D51:D56 D19:D29 D8 D10:D17" xr:uid="{924EE212-ABFC-4376-9EB3-095A8E037FA6}">
      <formula1>Flow_units</formula1>
    </dataValidation>
    <dataValidation type="custom" allowBlank="1" showInputMessage="1" showErrorMessage="1" error="Please do not change this formula" prompt="Please do not change this formula" sqref="M4 T4 N6:O1048576 L1:L1048576 N1:O4 S1:S4 S6:S1048576 N5:S5" xr:uid="{997A9450-4DEB-4754-B16E-0F1F868588C1}">
      <formula1>"Please do not change this formula"</formula1>
    </dataValidation>
  </dataValidations>
  <hyperlinks>
    <hyperlink ref="I2:J2" location="GHG_GENERIC_OTHER!A1" display="Go to the summary tab of this pathway" xr:uid="{7AE5737C-D835-4426-AB23-BBF192C05E97}"/>
  </hyperlinks>
  <pageMargins left="0" right="0" top="0" bottom="0" header="0" footer="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4" id="{48685EBD-9D55-47B5-AC46-67C96773569D}">
            <xm:f>AND(Initial_questions!$E$21&lt;&gt;"Other",Master_Switch="On")</xm:f>
            <x14:dxf>
              <font>
                <color theme="0"/>
              </font>
              <fill>
                <patternFill>
                  <bgColor theme="0"/>
                </patternFill>
              </fill>
              <border>
                <left/>
                <right/>
                <top/>
                <bottom/>
                <vertical/>
                <horizontal/>
              </border>
            </x14:dxf>
          </x14:cfRule>
          <xm:sqref>A2:XFD100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3B74437-FA78-4C79-B6EE-94A25E3BEB3A}">
          <x14:formula1>
            <xm:f>Units!$X$120</xm:f>
          </x14:formula1>
          <xm:sqref>D9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19BE7-A53C-4BC3-A845-BE45B08504F1}">
  <sheetPr codeName="Sheet42">
    <tabColor theme="8" tint="0.59999389629810485"/>
  </sheetPr>
  <dimension ref="B1:AC153"/>
  <sheetViews>
    <sheetView showGridLines="0" zoomScaleNormal="100" workbookViewId="0"/>
  </sheetViews>
  <sheetFormatPr defaultRowHeight="14.4"/>
  <cols>
    <col min="3" max="3" width="9.88671875" customWidth="1"/>
  </cols>
  <sheetData>
    <row r="1" spans="2:29" ht="15" thickBot="1">
      <c r="B1" s="3" t="s">
        <v>103</v>
      </c>
      <c r="C1" s="3"/>
    </row>
    <row r="2" spans="2:29" ht="15.6" thickTop="1" thickBot="1">
      <c r="B2" s="181" t="s">
        <v>104</v>
      </c>
      <c r="C2" s="181"/>
      <c r="D2" s="181"/>
      <c r="E2" s="181"/>
      <c r="F2" s="181"/>
      <c r="G2" s="181"/>
      <c r="H2" s="181"/>
    </row>
    <row r="4" spans="2:29">
      <c r="B4" s="30" t="s">
        <v>75</v>
      </c>
    </row>
    <row r="5" spans="2:29">
      <c r="B5" s="60"/>
      <c r="C5" s="582" t="s">
        <v>105</v>
      </c>
      <c r="D5" s="583"/>
      <c r="E5" s="583"/>
      <c r="F5" s="583"/>
      <c r="G5" s="583"/>
      <c r="H5" s="583"/>
      <c r="I5" s="583"/>
      <c r="J5" s="584"/>
    </row>
    <row r="6" spans="2:29">
      <c r="B6" s="31"/>
      <c r="C6" s="585" t="s">
        <v>106</v>
      </c>
      <c r="D6" s="586"/>
      <c r="E6" s="586"/>
      <c r="F6" s="586"/>
      <c r="G6" s="586"/>
      <c r="H6" s="586"/>
      <c r="I6" s="586"/>
      <c r="J6" s="587"/>
    </row>
    <row r="9" spans="2:29" ht="15" thickBot="1">
      <c r="B9" s="180" t="s">
        <v>107</v>
      </c>
      <c r="C9" s="180"/>
      <c r="D9" s="180"/>
    </row>
    <row r="10" spans="2:29" ht="15" thickTop="1">
      <c r="B10" s="589" t="s">
        <v>708</v>
      </c>
      <c r="C10" s="589"/>
      <c r="D10" s="589"/>
      <c r="E10" s="589"/>
      <c r="F10" s="589"/>
      <c r="G10" s="589"/>
      <c r="H10" s="589"/>
      <c r="I10" s="589"/>
      <c r="J10" s="589"/>
      <c r="K10" s="589"/>
      <c r="L10" s="589"/>
      <c r="M10" s="589"/>
      <c r="N10" s="589"/>
      <c r="O10" s="589"/>
      <c r="P10" s="589"/>
      <c r="Q10" s="589"/>
      <c r="R10" s="589"/>
      <c r="S10" s="589"/>
      <c r="T10" s="589"/>
      <c r="U10" s="589"/>
      <c r="V10" s="589"/>
      <c r="W10" s="589"/>
      <c r="X10" s="589"/>
      <c r="Y10" s="589"/>
      <c r="Z10" s="589"/>
      <c r="AA10" s="589"/>
      <c r="AB10" s="589"/>
      <c r="AC10" s="589"/>
    </row>
    <row r="33" spans="2:4" ht="15" thickBot="1">
      <c r="B33" s="180" t="s">
        <v>108</v>
      </c>
      <c r="C33" s="180"/>
      <c r="D33" s="180"/>
    </row>
    <row r="34" spans="2:4" ht="15" thickTop="1"/>
    <row r="62" spans="2:23" ht="15" thickBot="1">
      <c r="B62" s="180" t="s">
        <v>109</v>
      </c>
      <c r="C62" s="180"/>
      <c r="D62" s="180"/>
    </row>
    <row r="63" spans="2:23" ht="15" thickTop="1"/>
    <row r="64" spans="2:23" ht="39.6" customHeight="1">
      <c r="B64" s="589" t="s">
        <v>110</v>
      </c>
      <c r="C64" s="589"/>
      <c r="D64" s="589"/>
      <c r="E64" s="589"/>
      <c r="F64" s="589"/>
      <c r="G64" s="589"/>
      <c r="H64" s="589"/>
      <c r="I64" s="589"/>
      <c r="J64" s="589"/>
      <c r="K64" s="589"/>
      <c r="L64" s="589"/>
      <c r="M64" s="589"/>
      <c r="N64" s="589"/>
      <c r="O64" s="589"/>
      <c r="P64" s="589"/>
      <c r="Q64" s="589"/>
      <c r="R64" s="589"/>
      <c r="S64" s="589"/>
      <c r="T64" s="589"/>
      <c r="U64" s="589"/>
      <c r="V64" s="589"/>
      <c r="W64" s="589"/>
    </row>
    <row r="65" spans="2:23">
      <c r="B65" s="327"/>
      <c r="C65" s="327"/>
      <c r="D65" s="327"/>
      <c r="E65" s="327"/>
      <c r="F65" s="327"/>
      <c r="G65" s="327"/>
      <c r="H65" s="327"/>
      <c r="I65" s="327"/>
      <c r="J65" s="327"/>
      <c r="K65" s="327"/>
      <c r="L65" s="327"/>
      <c r="M65" s="327"/>
      <c r="N65" s="327"/>
      <c r="O65" s="327"/>
      <c r="P65" s="327"/>
      <c r="Q65" s="327"/>
      <c r="R65" s="327"/>
      <c r="S65" s="327"/>
      <c r="T65" s="327"/>
      <c r="U65" s="327"/>
      <c r="V65" s="327"/>
      <c r="W65" s="327"/>
    </row>
    <row r="66" spans="2:23" ht="14.4" customHeight="1">
      <c r="B66" t="s">
        <v>111</v>
      </c>
      <c r="C66" s="84"/>
      <c r="D66" s="84"/>
      <c r="E66" s="84"/>
      <c r="F66" s="84"/>
      <c r="G66" s="84"/>
      <c r="H66" s="84"/>
      <c r="I66" s="84"/>
      <c r="J66" s="84"/>
      <c r="K66" s="84"/>
      <c r="L66" s="84"/>
      <c r="M66" s="84"/>
      <c r="N66" s="84"/>
      <c r="O66" s="84"/>
      <c r="P66" s="84"/>
      <c r="Q66" s="84"/>
      <c r="R66" s="84"/>
      <c r="S66" s="84"/>
      <c r="T66" s="84"/>
      <c r="U66" s="84"/>
      <c r="V66" s="84"/>
      <c r="W66" s="84"/>
    </row>
    <row r="80" spans="2:23">
      <c r="B80" t="s">
        <v>112</v>
      </c>
    </row>
    <row r="100" spans="2:9" ht="16.2" thickBot="1">
      <c r="B100" s="180" t="s">
        <v>113</v>
      </c>
      <c r="C100" s="180"/>
      <c r="D100" s="180"/>
      <c r="E100" s="180"/>
      <c r="F100" s="180"/>
      <c r="G100" s="180"/>
      <c r="H100" s="180"/>
      <c r="I100" s="180"/>
    </row>
    <row r="101" spans="2:9" ht="15" thickTop="1"/>
    <row r="117" spans="2:23">
      <c r="B117" s="589" t="s">
        <v>114</v>
      </c>
      <c r="C117" s="589"/>
      <c r="D117" s="589"/>
      <c r="E117" s="589"/>
      <c r="F117" s="589"/>
      <c r="G117" s="589"/>
      <c r="H117" s="589"/>
      <c r="I117" s="589"/>
      <c r="J117" s="589"/>
      <c r="K117" s="589"/>
      <c r="L117" s="589"/>
      <c r="M117" s="589"/>
      <c r="N117" s="589"/>
      <c r="O117" s="589"/>
      <c r="P117" s="589"/>
      <c r="Q117" s="589"/>
      <c r="R117" s="589"/>
      <c r="S117" s="589"/>
      <c r="T117" s="589"/>
      <c r="U117" s="589"/>
      <c r="V117" s="589"/>
      <c r="W117" s="589"/>
    </row>
    <row r="124" spans="2:23">
      <c r="M124" s="28"/>
    </row>
    <row r="130" spans="2:9" ht="16.2" thickBot="1">
      <c r="B130" s="180" t="s">
        <v>115</v>
      </c>
      <c r="C130" s="180"/>
      <c r="D130" s="180"/>
      <c r="E130" s="180"/>
      <c r="F130" s="180"/>
      <c r="G130" s="180"/>
      <c r="H130" s="180"/>
      <c r="I130" s="180"/>
    </row>
    <row r="131" spans="2:9" ht="15" thickTop="1"/>
    <row r="148" spans="2:23">
      <c r="B148" s="589" t="s">
        <v>116</v>
      </c>
      <c r="C148" s="589"/>
      <c r="D148" s="589"/>
      <c r="E148" s="589"/>
      <c r="F148" s="589"/>
      <c r="G148" s="589"/>
      <c r="H148" s="589"/>
      <c r="I148" s="589"/>
      <c r="J148" s="589"/>
      <c r="K148" s="589"/>
      <c r="L148" s="589"/>
      <c r="M148" s="589"/>
      <c r="N148" s="589"/>
      <c r="O148" s="589"/>
      <c r="P148" s="589"/>
      <c r="Q148" s="589"/>
      <c r="R148" s="589"/>
      <c r="S148" s="589"/>
      <c r="T148" s="589"/>
      <c r="U148" s="589"/>
      <c r="V148" s="589"/>
      <c r="W148" s="589"/>
    </row>
    <row r="153" spans="2:23" ht="27.9" customHeight="1">
      <c r="B153" s="589" t="s">
        <v>117</v>
      </c>
      <c r="C153" s="589"/>
      <c r="D153" s="589"/>
      <c r="E153" s="589"/>
      <c r="F153" s="589"/>
      <c r="G153" s="589"/>
      <c r="H153" s="589"/>
      <c r="I153" s="589"/>
      <c r="J153" s="589"/>
      <c r="K153" s="589"/>
      <c r="L153" s="589"/>
      <c r="M153" s="589"/>
      <c r="N153" s="589"/>
      <c r="O153" s="589"/>
      <c r="P153" s="589"/>
      <c r="Q153" s="589"/>
      <c r="R153" s="589"/>
      <c r="S153" s="589"/>
      <c r="T153" s="589"/>
      <c r="U153" s="589"/>
      <c r="V153" s="589"/>
      <c r="W153" s="589"/>
    </row>
  </sheetData>
  <customSheetViews>
    <customSheetView guid="{43B6AE9C-E429-4506-98F3-C388B54AB8B6}" showGridLines="0">
      <selection activeCell="D1" sqref="D1"/>
      <pageMargins left="0" right="0" top="0" bottom="0" header="0" footer="0"/>
    </customSheetView>
    <customSheetView guid="{D41C0D8C-591E-4B34-99B3-B45BA51A58EC}" showGridLines="0">
      <selection activeCell="D1" sqref="D1"/>
      <pageMargins left="0" right="0" top="0" bottom="0" header="0" footer="0"/>
    </customSheetView>
    <customSheetView guid="{8F590910-6C03-4233-9C41-6540BF2DE453}" showGridLines="0">
      <selection activeCell="D1" sqref="D1"/>
      <pageMargins left="0" right="0" top="0" bottom="0" header="0" footer="0"/>
    </customSheetView>
    <customSheetView guid="{55CEC4CC-9BBF-4F2D-BA17-E94F4B26FAC5}" showGridLines="0">
      <selection activeCell="D1" sqref="D1"/>
      <pageMargins left="0" right="0" top="0" bottom="0" header="0" footer="0"/>
    </customSheetView>
    <customSheetView guid="{7735C88E-3A13-4DCF-BB32-4D20A306A8BB}" showGridLines="0">
      <selection activeCell="D1" sqref="D1"/>
      <pageMargins left="0" right="0" top="0" bottom="0" header="0" footer="0"/>
    </customSheetView>
    <customSheetView guid="{27B9E3C6-8189-41E0-896B-02A30393FDC0}" showGridLines="0">
      <selection activeCell="D1" sqref="D1"/>
      <pageMargins left="0" right="0" top="0" bottom="0" header="0" footer="0"/>
    </customSheetView>
    <customSheetView guid="{ED9AC919-98EB-43A3-A158-23FD7D007D30}" showGridLines="0">
      <selection activeCell="D1" sqref="D1"/>
      <pageMargins left="0" right="0" top="0" bottom="0" header="0" footer="0"/>
    </customSheetView>
  </customSheetViews>
  <mergeCells count="7">
    <mergeCell ref="C5:J5"/>
    <mergeCell ref="C6:J6"/>
    <mergeCell ref="B117:W117"/>
    <mergeCell ref="B148:W148"/>
    <mergeCell ref="B153:W153"/>
    <mergeCell ref="B64:W64"/>
    <mergeCell ref="B10:AC10"/>
  </mergeCells>
  <pageMargins left="0" right="0" top="0" bottom="0" header="0" footer="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FC67E-A63C-4B32-ADEE-FE21D2D1D829}">
  <sheetPr codeName="Sheet2">
    <tabColor theme="1"/>
  </sheetPr>
  <dimension ref="A2:K124"/>
  <sheetViews>
    <sheetView showGridLines="0" zoomScaleNormal="100" workbookViewId="0"/>
  </sheetViews>
  <sheetFormatPr defaultColWidth="8.88671875" defaultRowHeight="14.4"/>
  <cols>
    <col min="1" max="1" width="5" style="56" customWidth="1"/>
    <col min="2" max="2" width="18" customWidth="1"/>
    <col min="3" max="3" width="7.88671875" customWidth="1"/>
    <col min="4" max="4" width="152" customWidth="1"/>
    <col min="5" max="5" width="51.109375" style="354" customWidth="1"/>
    <col min="6" max="6" width="31" customWidth="1"/>
    <col min="7" max="7" width="13.109375" customWidth="1"/>
    <col min="8" max="8" width="14.109375" customWidth="1"/>
    <col min="9" max="9" width="41.88671875" style="316" customWidth="1"/>
    <col min="10" max="10" width="40.44140625" style="316" customWidth="1"/>
    <col min="11" max="11" width="39.109375" style="316" customWidth="1"/>
  </cols>
  <sheetData>
    <row r="2" spans="2:11">
      <c r="B2" s="194"/>
      <c r="C2" s="194"/>
      <c r="D2" s="194"/>
      <c r="E2" s="344"/>
      <c r="F2" s="194"/>
      <c r="G2" s="194"/>
    </row>
    <row r="3" spans="2:11">
      <c r="B3" s="194"/>
      <c r="C3" s="194"/>
      <c r="D3" s="194"/>
      <c r="E3" s="344"/>
      <c r="F3" s="194"/>
      <c r="G3" s="194"/>
    </row>
    <row r="4" spans="2:11">
      <c r="B4" s="194"/>
      <c r="C4" s="194"/>
      <c r="D4" s="194"/>
      <c r="E4" s="344"/>
      <c r="F4" s="194"/>
      <c r="G4" s="194"/>
    </row>
    <row r="5" spans="2:11">
      <c r="B5" s="194"/>
      <c r="C5" s="194"/>
      <c r="D5" s="194"/>
      <c r="E5" s="344"/>
      <c r="F5" s="194"/>
      <c r="G5" s="194"/>
    </row>
    <row r="6" spans="2:11">
      <c r="B6" s="194"/>
      <c r="C6" s="194"/>
      <c r="D6" s="194"/>
      <c r="E6" s="344"/>
      <c r="F6" s="194"/>
      <c r="G6" s="194"/>
    </row>
    <row r="7" spans="2:11">
      <c r="B7" s="194"/>
      <c r="C7" s="194"/>
      <c r="D7" s="194"/>
      <c r="E7" s="344"/>
      <c r="F7" s="194"/>
      <c r="G7" s="194"/>
    </row>
    <row r="8" spans="2:11">
      <c r="B8" s="194"/>
      <c r="C8" s="194"/>
      <c r="D8" s="194"/>
      <c r="E8" s="344"/>
      <c r="F8" s="194"/>
      <c r="G8" s="194"/>
    </row>
    <row r="9" spans="2:11">
      <c r="B9" s="194"/>
      <c r="C9" s="194"/>
      <c r="D9" s="194"/>
      <c r="E9" s="344"/>
      <c r="F9" s="194"/>
      <c r="G9" s="194"/>
    </row>
    <row r="10" spans="2:11">
      <c r="B10" s="194"/>
      <c r="C10" s="194"/>
      <c r="D10" s="194"/>
      <c r="E10" s="344"/>
      <c r="F10" s="194"/>
      <c r="G10" s="194"/>
    </row>
    <row r="11" spans="2:11" ht="28.8">
      <c r="B11" s="194"/>
      <c r="C11" s="195" t="s">
        <v>922</v>
      </c>
      <c r="D11" s="196"/>
      <c r="E11" s="345"/>
      <c r="F11" s="197"/>
      <c r="G11" s="194"/>
    </row>
    <row r="12" spans="2:11">
      <c r="B12" s="194"/>
      <c r="C12" s="198"/>
      <c r="D12" s="198"/>
      <c r="E12" s="346"/>
      <c r="F12" s="199"/>
      <c r="G12" s="194"/>
    </row>
    <row r="13" spans="2:11" ht="15.6">
      <c r="B13" s="194"/>
      <c r="C13" s="200" t="s">
        <v>907</v>
      </c>
      <c r="D13" s="201"/>
      <c r="E13" s="347"/>
      <c r="F13" s="202"/>
      <c r="G13" s="194"/>
    </row>
    <row r="14" spans="2:11">
      <c r="B14" s="194"/>
      <c r="C14" s="596" t="s">
        <v>908</v>
      </c>
      <c r="D14" s="596"/>
      <c r="E14" s="137"/>
      <c r="F14" s="203"/>
      <c r="G14" s="194"/>
    </row>
    <row r="15" spans="2:11">
      <c r="B15" s="194"/>
      <c r="C15" s="596" t="s">
        <v>909</v>
      </c>
      <c r="D15" s="596"/>
      <c r="E15" s="137"/>
      <c r="F15" s="203"/>
      <c r="G15" s="194"/>
      <c r="I15" s="317"/>
      <c r="J15" s="317"/>
      <c r="K15" s="319"/>
    </row>
    <row r="16" spans="2:11">
      <c r="B16" s="194"/>
      <c r="C16" s="596" t="s">
        <v>118</v>
      </c>
      <c r="D16" s="596"/>
      <c r="E16" s="137"/>
      <c r="F16" s="203"/>
      <c r="G16" s="194"/>
    </row>
    <row r="17" spans="2:7">
      <c r="B17" s="194"/>
      <c r="C17" s="235" t="s">
        <v>119</v>
      </c>
      <c r="D17" s="323"/>
      <c r="E17" s="148"/>
      <c r="F17" s="203"/>
      <c r="G17" s="194"/>
    </row>
    <row r="18" spans="2:7">
      <c r="B18" s="194"/>
      <c r="C18" s="601" t="s">
        <v>121</v>
      </c>
      <c r="D18" s="601"/>
      <c r="E18" s="137"/>
      <c r="F18" s="204"/>
      <c r="G18" s="194"/>
    </row>
    <row r="19" spans="2:7">
      <c r="B19" s="194"/>
      <c r="C19" s="597"/>
      <c r="D19" s="597"/>
      <c r="E19" s="205"/>
      <c r="F19" s="206"/>
      <c r="G19" s="194"/>
    </row>
    <row r="20" spans="2:7" ht="15.6">
      <c r="B20" s="194"/>
      <c r="C20" s="207" t="s">
        <v>122</v>
      </c>
      <c r="D20" s="208"/>
      <c r="E20" s="236"/>
      <c r="F20" s="209"/>
      <c r="G20" s="194"/>
    </row>
    <row r="21" spans="2:7">
      <c r="B21" s="194"/>
      <c r="C21" s="596" t="s">
        <v>123</v>
      </c>
      <c r="D21" s="596"/>
      <c r="E21" s="148"/>
      <c r="F21" s="203"/>
      <c r="G21" s="194"/>
    </row>
    <row r="22" spans="2:7" ht="29.1" customHeight="1">
      <c r="B22" s="194"/>
      <c r="C22" s="224"/>
      <c r="D22" s="375" t="str">
        <f>IF(Pathway="Other","If Other is selected, please describe the hydrogen production pathway","Not applicable, as 'Other' pathway not selected, please move on to the next question")</f>
        <v>Not applicable, as 'Other' pathway not selected, please move on to the next question</v>
      </c>
      <c r="E22" s="137"/>
      <c r="F22" s="203"/>
      <c r="G22" s="194"/>
    </row>
    <row r="23" spans="2:7">
      <c r="B23" s="194"/>
      <c r="C23" s="596" t="s">
        <v>900</v>
      </c>
      <c r="D23" s="596"/>
      <c r="E23" s="148"/>
      <c r="F23" s="203"/>
      <c r="G23" s="194"/>
    </row>
    <row r="24" spans="2:7">
      <c r="B24" s="194"/>
      <c r="C24" s="601" t="s">
        <v>916</v>
      </c>
      <c r="D24" s="601"/>
      <c r="E24" s="148"/>
      <c r="F24" s="204"/>
      <c r="G24" s="194"/>
    </row>
    <row r="25" spans="2:7">
      <c r="B25" s="194"/>
      <c r="C25" s="609" t="str">
        <f>IF(Pathway="Other","As you have selected the 'Other' pathway, remember to select or enter 'Not applicable' in the boxes below if you believe a question is irrelevant to your project","")</f>
        <v/>
      </c>
      <c r="D25" s="609"/>
      <c r="E25" s="210"/>
      <c r="F25" s="206"/>
      <c r="G25" s="194"/>
    </row>
    <row r="26" spans="2:7" ht="15.6">
      <c r="B26" s="194"/>
      <c r="C26" s="207" t="str" cm="1">
        <f t="array" ref="C26">IF(OR(Pathway=Units!$B$120:$B$124),"Main input energy origins","Feedstock origins")</f>
        <v>Feedstock origins</v>
      </c>
      <c r="D26" s="208"/>
      <c r="E26" s="236"/>
      <c r="F26" s="209"/>
      <c r="G26" s="194"/>
    </row>
    <row r="27" spans="2:7">
      <c r="B27" s="194"/>
      <c r="C27" s="596" t="str" cm="1">
        <f t="array" ref="C27">IF(OR(Pathway=Units!$B$120:$B$124), "What is the main input energy source at the start of your hydrogen production supply chain?", "What is the feedstock at the start of your hydrogen production supply chain?")</f>
        <v>What is the feedstock at the start of your hydrogen production supply chain?</v>
      </c>
      <c r="D27" s="596"/>
      <c r="E27" s="148"/>
      <c r="F27" s="203"/>
      <c r="G27" s="194"/>
    </row>
    <row r="28" spans="2:7" ht="57.6" customHeight="1">
      <c r="B28" s="194"/>
      <c r="C28" s="602" t="str" cm="1">
        <f t="array" ref="C28">IF(OR(Pathway=Units!$B$120:$B$124),
"Please state the exact energy sources used and any intermediate energy sources along the supply chain."&amp;" If using multiple or mixed energy sources, please indicate the breakdown of the energy souces used (by the % splits of hydrogen produced from each energ source, and if different, also by the split of energy sources on a LHV basis)."&amp;" If using multiple 'other' electricity sources, please complete separate Hydrogen Emission Calculator workbooks, one for each consignment (and give the results for each consignment in the Dashboard worksheet)",
"Please state the exact feedstocks used and any intermediate feedstocks that are created along the supply chain."&amp;" If using multiple or mixed feedstocks, please indicate the breakdown of the feedstocks used (by the % splits of hydrogen produced from each feedstock, and if different, also by the split of feedstock energy on a LHV basis)."&amp;" If using multiple feedstocks that form multiple hydrogen consignments, please complete separate Hydrogen Emission Calculator workbooks, one for each consignment (and give the results for each consignment in the Dashboard worksheet)")</f>
        <v>Please state the exact feedstocks used and any intermediate feedstocks that are created along the supply chain. If using multiple or mixed feedstocks, please indicate the breakdown of the feedstocks used (by the % splits of hydrogen produced from each feedstock, and if different, also by the split of feedstock energy on a LHV basis). If using multiple feedstocks that form multiple hydrogen consignments, please complete separate Hydrogen Emission Calculator workbooks, one for each consignment (and give the results for each consignment in the Dashboard worksheet)</v>
      </c>
      <c r="D28" s="602"/>
      <c r="E28" s="444"/>
      <c r="F28" s="203"/>
      <c r="G28" s="194"/>
    </row>
    <row r="29" spans="2:7">
      <c r="B29" s="194"/>
      <c r="C29" s="596" t="str" cm="1">
        <f t="array" ref="C29">IF(OR(Pathway=Units!$B$120:$B$124), "What location does the energy input(s) originate from?", "What location does the feedstock(s) originate from?")</f>
        <v>What location does the feedstock(s) originate from?</v>
      </c>
      <c r="D29" s="596"/>
      <c r="E29" s="148"/>
      <c r="F29" s="203"/>
      <c r="G29" s="194"/>
    </row>
    <row r="30" spans="2:7" ht="42.6" customHeight="1">
      <c r="B30" s="194"/>
      <c r="C30" s="604" t="str" cm="1">
        <f t="array" ref="C30">IF(OR(Pathway=Units!$B$120:$B$124),"Please give further details on the origins of the energy input(s) used", "Please give further details on the origins of the feedstock(s) used")</f>
        <v>Please give further details on the origins of the feedstock(s) used</v>
      </c>
      <c r="D30" s="604"/>
      <c r="E30" s="137"/>
      <c r="F30" s="203"/>
      <c r="G30" s="194"/>
    </row>
    <row r="31" spans="2:7" ht="29.1" customHeight="1">
      <c r="B31" s="194"/>
      <c r="C31" s="608" t="str" cm="1">
        <f t="array" ref="C31">IF(OR(E21=Units!B128:B136), "If using biogenic feedstock(s), are at least 50% (by LHV energy content) of your total biogenic hydrogen consignments derived from biogenic wastes or residues? (see Annex D for classifications)." &amp; " This question applies even if the single hydrogen consignment analysed in this workbook is not derived from a waste or residue feedstock", "Not applicable, as biomass not a feedstock, please move on to the next question")</f>
        <v>Not applicable, as biomass not a feedstock, please move on to the next question</v>
      </c>
      <c r="D31" s="608"/>
      <c r="E31" s="148"/>
      <c r="F31" s="212"/>
      <c r="G31" s="194"/>
    </row>
    <row r="32" spans="2:7">
      <c r="B32" s="194"/>
      <c r="C32" s="605"/>
      <c r="D32" s="605"/>
      <c r="E32" s="213"/>
      <c r="F32" s="196"/>
      <c r="G32" s="194"/>
    </row>
    <row r="33" spans="2:10" ht="15.6">
      <c r="B33" s="194"/>
      <c r="C33" s="214" t="s">
        <v>128</v>
      </c>
      <c r="D33" s="219"/>
      <c r="E33" s="220"/>
      <c r="F33" s="216"/>
      <c r="G33" s="194"/>
    </row>
    <row r="34" spans="2:10" ht="14.4" customHeight="1">
      <c r="B34" s="194"/>
      <c r="C34" s="606" t="s">
        <v>917</v>
      </c>
      <c r="D34" s="607"/>
      <c r="E34" s="465"/>
      <c r="F34" s="466"/>
      <c r="G34" s="194"/>
    </row>
    <row r="35" spans="2:10" ht="15.6">
      <c r="B35" s="194"/>
      <c r="C35" s="340"/>
      <c r="D35" s="328" t="s">
        <v>954</v>
      </c>
      <c r="E35" s="573" t="str" cm="1">
        <f t="array" ref="E35">IF(OR(Pathway=Units!$B$121:$B$123), 0, "Enter annual usage")</f>
        <v>Enter annual usage</v>
      </c>
      <c r="F35" s="357" t="s">
        <v>129</v>
      </c>
      <c r="G35" s="194"/>
    </row>
    <row r="36" spans="2:10" ht="15.6">
      <c r="B36" s="194"/>
      <c r="C36" s="340"/>
      <c r="D36" s="328" t="s">
        <v>130</v>
      </c>
      <c r="E36" s="573" t="str" cm="1">
        <f t="array" ref="E36">IF(OR(Pathway=Units!$B$122:$B$123, Pathway=Units!$B$120), 0, "Enter annual usage")</f>
        <v>Enter annual usage</v>
      </c>
      <c r="F36" s="357" t="s">
        <v>129</v>
      </c>
      <c r="G36" s="194"/>
    </row>
    <row r="37" spans="2:10" ht="15.6">
      <c r="B37" s="194"/>
      <c r="C37" s="340"/>
      <c r="D37" s="328" t="s">
        <v>131</v>
      </c>
      <c r="E37" s="573" t="str" cm="1">
        <f t="array" ref="E37">IF(OR(Pathway=Units!$B$123, Pathway=Units!$B$120:$B$121), 0, "Enter annual usage")</f>
        <v>Enter annual usage</v>
      </c>
      <c r="F37" s="357" t="s">
        <v>129</v>
      </c>
      <c r="G37" s="194"/>
    </row>
    <row r="38" spans="2:10" ht="15.6">
      <c r="B38" s="194"/>
      <c r="C38" s="340"/>
      <c r="D38" s="328" t="s">
        <v>932</v>
      </c>
      <c r="E38" s="573" t="str" cm="1">
        <f t="array" ref="E38">IF(OR(Pathway=Units!$B$120:$B$122), 0, "Enter annual usage")</f>
        <v>Enter annual usage</v>
      </c>
      <c r="F38" s="357" t="s">
        <v>129</v>
      </c>
      <c r="G38" s="194"/>
    </row>
    <row r="39" spans="2:10" ht="15.6">
      <c r="B39" s="194"/>
      <c r="C39" s="340"/>
      <c r="D39" s="328" t="str">
        <f>IF(E38&gt;0,"What is the annual average GHG emissions intensity of this other electricity source?","Not applicable, as 'other electricity sources' not selected, please move on to the next question")</f>
        <v>What is the annual average GHG emissions intensity of this other electricity source?</v>
      </c>
      <c r="E39" s="348"/>
      <c r="F39" s="357" t="s">
        <v>132</v>
      </c>
      <c r="G39" s="194"/>
    </row>
    <row r="40" spans="2:10" ht="36.6" customHeight="1">
      <c r="B40" s="194"/>
      <c r="C40" s="326"/>
      <c r="D40" s="328" t="str">
        <f>IF(E38&gt;0,"Please reference documents evidencing the calculation of the GHG emissions intensity of the other electricity source","Not applicable, as 'other electricity sources' not selected, please move on to the next question")</f>
        <v>Please reference documents evidencing the calculation of the GHG emissions intensity of the other electricity source</v>
      </c>
      <c r="E40" s="348"/>
      <c r="F40" s="222"/>
      <c r="G40" s="194"/>
    </row>
    <row r="41" spans="2:10" ht="15.6">
      <c r="B41" s="194"/>
      <c r="C41" s="326"/>
      <c r="D41" s="328" t="s">
        <v>918</v>
      </c>
      <c r="E41" s="366" t="str">
        <f>IFERROR((E35*Assumptions!C14+E36*Assumptions!C13+E37*INDEX(Assumptions!$F$5:$AJ$5,1,MATCH(Initial_questions!$E$24,Assumptions!$F$4:$AJ$4,0))+E38*E39)/SUM(E35:E38),"Please fill in the breakdown of electricity sources and year")</f>
        <v>Please fill in the breakdown of electricity sources and year</v>
      </c>
      <c r="F41" s="357" t="s">
        <v>132</v>
      </c>
      <c r="G41" s="194"/>
      <c r="I41" s="381"/>
      <c r="J41" s="382"/>
    </row>
    <row r="42" spans="2:10" ht="30" customHeight="1">
      <c r="B42" s="194"/>
      <c r="C42" s="384"/>
      <c r="D42" s="385" t="s">
        <v>933</v>
      </c>
      <c r="E42" s="467" t="str">
        <f>IFERROR((E35+E36)/SUM(E35:E38),"Please fill in the breakdown of electricity sources")</f>
        <v>Please fill in the breakdown of electricity sources</v>
      </c>
      <c r="F42" s="222"/>
      <c r="G42" s="194"/>
      <c r="I42" s="381"/>
      <c r="J42" s="382"/>
    </row>
    <row r="43" spans="2:10" ht="34.35" customHeight="1">
      <c r="B43" s="194"/>
      <c r="C43" s="604" t="s">
        <v>928</v>
      </c>
      <c r="D43" s="604"/>
      <c r="E43" s="137"/>
      <c r="F43" s="203"/>
      <c r="G43" s="223"/>
      <c r="I43" s="381"/>
    </row>
    <row r="44" spans="2:10">
      <c r="B44" s="194"/>
      <c r="C44" s="596" t="s">
        <v>929</v>
      </c>
      <c r="D44" s="596"/>
      <c r="E44" s="349"/>
      <c r="F44" s="203"/>
      <c r="G44" s="218"/>
      <c r="H44" s="194"/>
    </row>
    <row r="45" spans="2:10">
      <c r="B45" s="194"/>
      <c r="C45" s="224"/>
      <c r="D45" s="225" t="s">
        <v>935</v>
      </c>
      <c r="E45" s="242">
        <v>0</v>
      </c>
      <c r="F45" s="203"/>
      <c r="G45" s="610"/>
      <c r="H45" s="610"/>
      <c r="I45" s="318"/>
    </row>
    <row r="46" spans="2:10">
      <c r="B46" s="194"/>
      <c r="C46" s="224"/>
      <c r="D46" s="225" t="s">
        <v>965</v>
      </c>
      <c r="E46" s="242">
        <v>0</v>
      </c>
      <c r="F46" s="203"/>
      <c r="G46" s="571"/>
      <c r="H46" s="571"/>
      <c r="I46" s="318"/>
    </row>
    <row r="47" spans="2:10">
      <c r="B47" s="194"/>
      <c r="C47" s="224"/>
      <c r="D47" s="225" t="s">
        <v>964</v>
      </c>
      <c r="E47" s="242">
        <v>0</v>
      </c>
      <c r="F47" s="203"/>
      <c r="G47" s="571"/>
      <c r="H47" s="571"/>
      <c r="I47" s="318"/>
    </row>
    <row r="48" spans="2:10">
      <c r="B48" s="194"/>
      <c r="C48" s="224"/>
      <c r="D48" s="225" t="s">
        <v>936</v>
      </c>
      <c r="E48" s="242">
        <v>0</v>
      </c>
      <c r="F48" s="203"/>
      <c r="G48" s="610"/>
      <c r="H48" s="610"/>
    </row>
    <row r="49" spans="2:8">
      <c r="B49" s="194"/>
      <c r="C49" s="224"/>
      <c r="D49" s="225" t="s">
        <v>937</v>
      </c>
      <c r="E49" s="242">
        <v>0</v>
      </c>
      <c r="F49" s="203"/>
      <c r="G49" s="218"/>
      <c r="H49" s="223"/>
    </row>
    <row r="50" spans="2:8">
      <c r="B50" s="194"/>
      <c r="C50" s="224"/>
      <c r="D50" s="225" t="s">
        <v>133</v>
      </c>
      <c r="E50" s="242">
        <v>0</v>
      </c>
      <c r="F50" s="203"/>
      <c r="G50" s="218"/>
      <c r="H50" s="223"/>
    </row>
    <row r="51" spans="2:8">
      <c r="B51" s="194"/>
      <c r="C51" s="224"/>
      <c r="D51" s="225" t="s">
        <v>938</v>
      </c>
      <c r="E51" s="242">
        <v>0</v>
      </c>
      <c r="F51" s="203"/>
      <c r="G51" s="218"/>
      <c r="H51" s="223"/>
    </row>
    <row r="52" spans="2:8">
      <c r="B52" s="194"/>
      <c r="C52" s="224"/>
      <c r="D52" s="225" t="s">
        <v>939</v>
      </c>
      <c r="E52" s="242">
        <v>0</v>
      </c>
      <c r="F52" s="203"/>
      <c r="G52" s="218"/>
      <c r="H52" s="223"/>
    </row>
    <row r="53" spans="2:8">
      <c r="B53" s="194"/>
      <c r="C53" s="224"/>
      <c r="D53" s="225" t="s">
        <v>134</v>
      </c>
      <c r="E53" s="242">
        <v>0</v>
      </c>
      <c r="F53" s="203"/>
      <c r="G53" s="218"/>
      <c r="H53" s="223"/>
    </row>
    <row r="54" spans="2:8">
      <c r="B54" s="194"/>
      <c r="C54" s="224"/>
      <c r="D54" s="225" t="s">
        <v>135</v>
      </c>
      <c r="E54" s="350" t="str">
        <f>IF(SUM(E45:E53)&lt;&gt;100%,"Error: Does not add to 100%",SUM(E45:E53))</f>
        <v>Error: Does not add to 100%</v>
      </c>
      <c r="F54" s="203"/>
      <c r="G54" s="218"/>
      <c r="H54" s="223"/>
    </row>
    <row r="55" spans="2:8" ht="33.6" customHeight="1">
      <c r="B55" s="194"/>
      <c r="C55" s="599" t="s">
        <v>810</v>
      </c>
      <c r="D55" s="599"/>
      <c r="E55" s="242"/>
      <c r="F55" s="204"/>
      <c r="G55" s="223"/>
    </row>
    <row r="56" spans="2:8">
      <c r="B56" s="194"/>
      <c r="C56" s="194"/>
      <c r="D56" s="194"/>
      <c r="E56" s="226"/>
      <c r="F56" s="194"/>
      <c r="G56" s="194"/>
    </row>
    <row r="57" spans="2:8" ht="15.6">
      <c r="B57" s="595" t="str" cm="1">
        <f t="array" ref="B57">IF(OR(Pathway=Units!$B$123:$B$124), "Only relevant if using biomass to generate electrolysis input power", IF(OR(Pathway=Units!$B$128:$B$133,Pathway=Units!$B$136),"", IF(OR(Pathway=Units!$B$134:$B$135), "Only relevant if using biomass wastes from agriculture, aquaculture, fisheries or forestry", "Likely not relevant to your project - please move on to the next section")))</f>
        <v>Likely not relevant to your project - please move on to the next section</v>
      </c>
      <c r="C57" s="214" t="str" cm="1">
        <f t="array" ref="C57">IF(OR(Pathway=Units!$B$123:$B$124, Pathway=Units!$B$128:$B$136),"Biomass feedstocks", "Not applicable, as biomass not a feedstock, please move on to the next section")</f>
        <v>Not applicable, as biomass not a feedstock, please move on to the next section</v>
      </c>
      <c r="D57" s="215"/>
      <c r="E57" s="220"/>
      <c r="F57" s="216"/>
      <c r="G57" s="194"/>
    </row>
    <row r="58" spans="2:8">
      <c r="B58" s="595"/>
      <c r="C58" s="604" t="str" cm="1">
        <f t="array" ref="C58">IF(OR(Pathway=Units!$B$123:$B$124), "If biomass feedstock is used to generate electrolysis input power, does it meet the land criteria in the Low Carbon Hydrogen Standard? (see Annex D, Table 9 of the LCHS for applicable categories)", IF(OR(Pathway=Units!$B$128:$B$136),"If using biomass feedstock, does it meet the land criteria set out in the Low Carbon Hydrogen Standard? (see Annex D, Table 9 of the LCHS for applicable categories)", "Not applicable, please move on to the next section"))</f>
        <v>Not applicable, please move on to the next section</v>
      </c>
      <c r="D58" s="604"/>
      <c r="E58" s="148"/>
      <c r="F58" s="203"/>
      <c r="G58" s="194"/>
    </row>
    <row r="59" spans="2:8">
      <c r="B59" s="595"/>
      <c r="C59" s="604" t="str" cm="1">
        <f t="array" ref="C59">IF(OR(Pathway=Units!$B$123:$B$124), "If biomass feedstock is used to generate electrolysis input power, does it meet the forest criteria in the Low Carbon Hydrogen Standard? (see Annex D, Table 9 of the LCHS for applicable categories)", IF(OR(E21=Units!B128:B136),"If using biomass feedstock, does it meet the forest criteria set out in the Low Carbon Hydrogen Standard? (see Annex D, Table 9 of the LCHS for applicable categories)","Not applicable, please move on to the next section"))</f>
        <v>Not applicable, please move on to the next section</v>
      </c>
      <c r="D59" s="604"/>
      <c r="E59" s="148"/>
      <c r="F59" s="203"/>
      <c r="G59" s="194"/>
    </row>
    <row r="60" spans="2:8">
      <c r="B60" s="595"/>
      <c r="C60" s="604" t="str" cm="1">
        <f t="array" ref="C60">IF(OR(Pathway=Units!$B$123:$B$124), "If biomass feedstock is used to generate electrolysis input power, does it meet the soil carbon criteria in the Low Carbon Hydrogen Standard? (see Annex D, Table 9 of the LCHS for applicable categories)", IF(OR(E21=Units!B128:B136),"If using biomass feedstock, does it meet the soil carbon criteria set out in the Low Carbon Hydrogen Standard? (see Annex D, Table 9 of the LCHS for applicable categories)", "Not applicable, please move on to the next section"))</f>
        <v>Not applicable, please move on to the next section</v>
      </c>
      <c r="D60" s="604"/>
      <c r="E60" s="148"/>
      <c r="F60" s="203"/>
      <c r="G60" s="194"/>
    </row>
    <row r="61" spans="2:8" ht="31.8" customHeight="1">
      <c r="B61" s="595"/>
      <c r="C61" s="602" t="str" cm="1">
        <f t="array" ref="C61">IF(AND(COUNTIF(E58:E60,"Not applicable")&lt;3,OR(Pathway=Units!$B$123:$B$124,Pathway=Units!$B$128:$B$136)),"If relevant, please detail the relevant schemes, referencing and attaching the documents that evidence compliance with the land, forest and/or soil carbon criteria", "Not applicable, please move on to the next section")</f>
        <v>Not applicable, please move on to the next section</v>
      </c>
      <c r="D61" s="602"/>
      <c r="E61" s="137"/>
      <c r="F61" s="203"/>
      <c r="G61" s="194"/>
    </row>
    <row r="62" spans="2:8">
      <c r="B62" s="595"/>
      <c r="C62" s="604" t="str" cm="1">
        <f t="array" ref="C62">IF(OR(Pathway=Units!$B$123:$B$124),"If using biomass crop feedstock to generate electrolysis input power, please select your feedstock group", IF(OR(Pathway=Units!$B$128:$B$136),"If using biomass crop feedstock, please select your feedstock group", "Not applicable, please move on to the next section"))</f>
        <v>Not applicable, please move on to the next section</v>
      </c>
      <c r="D62" s="604"/>
      <c r="E62" s="148"/>
      <c r="F62" s="203"/>
      <c r="G62" s="194"/>
    </row>
    <row r="63" spans="2:8" ht="15.6">
      <c r="B63" s="595"/>
      <c r="C63" s="604" t="str" cm="1">
        <f t="array" ref="C63">IF(OR(Pathway=Units!$B$123:$B$124),"If using biomass crop feedstock to generate electrolysis input power, please provide your projected whole chain efficiency", IF(OR(Pathway=Units!$B$128:$B$136),"If using biomass crop feedstock, please provide your projected whole chain efficiency", "Not applicable, please move on to the next section"))</f>
        <v>Not applicable, please move on to the next section</v>
      </c>
      <c r="D63" s="604"/>
      <c r="E63" s="242"/>
      <c r="F63" s="203" t="s">
        <v>963</v>
      </c>
      <c r="G63" s="194"/>
    </row>
    <row r="64" spans="2:8" ht="30" customHeight="1">
      <c r="B64" s="595"/>
      <c r="C64" s="599" t="str" cm="1">
        <f t="array" ref="C64">IF(OR(Pathway=Units!$B$123:$B$124),"If using biomass crop feedstock to generate electrolysis input power, the following value is the resulting associated ILUC (Indirect Land Use Change) emissions"&amp;", for reporting separately to those GHG emissions in scope of the Standard (calculated in the Dashboard worksheet)", IF(OR(Pathway=Units!$B$128:$B$136),"The following value is the resulting associated ILUC (Indirect Land Use Change) emissions, for reporting separately to those GHG emissions in scope of the Standard (calculated in the Dashboard worksheet).", "Not applicable, please move on to the next section"))</f>
        <v>Not applicable, please move on to the next section</v>
      </c>
      <c r="D64" s="599"/>
      <c r="E64" s="452" t="str">
        <f>IFERROR(INDEX(Units!C112:C116, MATCH(E62,Units!B112:B116,0))/E63,"")</f>
        <v/>
      </c>
      <c r="F64" s="204" t="s">
        <v>962</v>
      </c>
      <c r="G64" s="194"/>
    </row>
    <row r="65" spans="2:10">
      <c r="B65" s="194"/>
      <c r="C65" s="603"/>
      <c r="D65" s="603"/>
      <c r="E65" s="217"/>
      <c r="F65" s="218"/>
      <c r="G65" s="194"/>
    </row>
    <row r="66" spans="2:10" ht="15.6">
      <c r="B66" s="595" t="str" cm="1">
        <f t="array" ref="B66">IF(OR(E21=Units!B125:B127,E21=Units!B136),"","Likely not relevant to your project - please move on to the next section")</f>
        <v>Likely not relevant to your project - please move on to the next section</v>
      </c>
      <c r="C66" s="598" t="str" cm="1">
        <f t="array" ref="C66">IF(OR(E21=Units!B125:B127,E21=Units!B136),"Fossil natural gas", "Not applicable, as fossil natural gas not a feedstock, please move on to the next section")</f>
        <v>Not applicable, as fossil natural gas not a feedstock, please move on to the next section</v>
      </c>
      <c r="D66" s="598"/>
      <c r="E66" s="227"/>
      <c r="F66" s="228"/>
      <c r="G66" s="194"/>
    </row>
    <row r="67" spans="2:10" ht="15" customHeight="1">
      <c r="B67" s="595"/>
      <c r="C67" s="596" t="str">
        <f>IF(OR(E21=Units!B125,E21=Units!B126,E21=Units!B127,E21=Units!B136),"If using fossil natural gas, please indicate if the hydrogen production plant will be connected to the UK gas grid.","Not applicable, as fossil natural gas not a feedstock, please move on to the next section")</f>
        <v>Not applicable, as fossil natural gas not a feedstock, please move on to the next section</v>
      </c>
      <c r="D67" s="596"/>
      <c r="E67" s="241"/>
      <c r="F67" s="203"/>
      <c r="G67" s="229"/>
    </row>
    <row r="68" spans="2:10" ht="49.35" customHeight="1">
      <c r="B68" s="595"/>
      <c r="C68" s="384"/>
      <c r="D68" s="445" t="str">
        <f>IF(AND(E67=Units!G121,OR(E21=Units!B125,E21=Units!B126,E21=Units!B127,E21=Units!B136)),"If using fossil natural gas without a direct connection to the gas grid, please outline the import route and contractual arrangement with a fossil natural gas production facility or foreign national grid emissions average.", "Not applicable, as either fossil natural gas not a feedstock or plant is connected to UK gas grid, please move on to the next section")</f>
        <v>Not applicable, as either fossil natural gas not a feedstock or plant is connected to UK gas grid, please move on to the next section</v>
      </c>
      <c r="E68" s="137"/>
      <c r="F68" s="203"/>
      <c r="G68" s="229"/>
    </row>
    <row r="69" spans="2:10" ht="15.6">
      <c r="B69" s="362"/>
      <c r="C69" s="594"/>
      <c r="D69" s="594"/>
      <c r="E69" s="359"/>
      <c r="F69" s="361"/>
      <c r="G69" s="229"/>
    </row>
    <row r="70" spans="2:10" ht="15.6">
      <c r="B70" s="595" t="str" cm="1">
        <f t="array" ref="B70">IF(OR(E21=Units!B128:B131,E21=Units!B136),"","Likely not relevant to your project - please move on to the next section")</f>
        <v>Likely not relevant to your project - please move on to the next section</v>
      </c>
      <c r="C70" s="593" t="str" cm="1">
        <f t="array" ref="C70">IF(OR(E21=Units!B128:B131,E21=Units!B136),"Biomethane","Not applicable, as biomethane not an intermediate feedstock, please move on to the next section")</f>
        <v>Not applicable, as biomethane not an intermediate feedstock, please move on to the next section</v>
      </c>
      <c r="D70" s="593"/>
      <c r="E70" s="227"/>
      <c r="F70" s="360"/>
      <c r="G70" s="194"/>
    </row>
    <row r="71" spans="2:10" ht="15.6" customHeight="1">
      <c r="B71" s="595"/>
      <c r="C71" s="604" t="str">
        <f>IF(OR(E21=Units!B128,E21=Units!B129,E21=Units!B130,E21=Units!B131,E21=Units!B136),"If using biomethane, please indicate the means of biomethane transportation", "Not applicable, as biomethane not an intermediate feedstock, please move on to the next section")</f>
        <v>Not applicable, as biomethane not an intermediate feedstock, please move on to the next section</v>
      </c>
      <c r="D71" s="604"/>
      <c r="E71" s="148"/>
      <c r="F71" s="203"/>
      <c r="G71" s="229"/>
    </row>
    <row r="72" spans="2:10" ht="42.6" customHeight="1">
      <c r="B72" s="595"/>
      <c r="C72" s="358"/>
      <c r="D72" s="230" t="str">
        <f>IF(OR(E21=Units!B128,E21=Units!B129,E21=Units!B130,E21=Units!B131,E21=Units!B136),"Please give details of the route and means of transport between the point of biomethane production and input into the hydrogen production plant. Where relevant, please provide details of the commercial arrangements in place to ensure the supply", "Not applicable, as biomethane is not an intermediate feedstock, please move on to the next section")</f>
        <v>Not applicable, as biomethane is not an intermediate feedstock, please move on to the next section</v>
      </c>
      <c r="E72" s="137"/>
      <c r="F72" s="204"/>
      <c r="G72" s="229"/>
    </row>
    <row r="73" spans="2:10">
      <c r="B73" s="194"/>
      <c r="C73" s="597"/>
      <c r="D73" s="597"/>
      <c r="E73" s="210"/>
      <c r="F73" s="206"/>
      <c r="G73" s="229"/>
    </row>
    <row r="74" spans="2:10" ht="15.6">
      <c r="B74" s="194"/>
      <c r="C74" s="598" t="s">
        <v>138</v>
      </c>
      <c r="D74" s="598"/>
      <c r="E74" s="211"/>
      <c r="F74" s="209"/>
      <c r="G74" s="229"/>
    </row>
    <row r="75" spans="2:10">
      <c r="B75" s="194"/>
      <c r="C75" s="596" t="s">
        <v>930</v>
      </c>
      <c r="D75" s="596"/>
      <c r="E75" s="243"/>
      <c r="F75" s="203" t="s">
        <v>959</v>
      </c>
      <c r="G75" s="194"/>
    </row>
    <row r="76" spans="2:10">
      <c r="B76" s="194"/>
      <c r="C76" s="596" t="s">
        <v>139</v>
      </c>
      <c r="D76" s="596"/>
      <c r="E76" s="243"/>
      <c r="F76" s="203" t="s">
        <v>140</v>
      </c>
      <c r="G76" s="194"/>
    </row>
    <row r="77" spans="2:10">
      <c r="B77" s="194"/>
      <c r="C77" s="596" t="s">
        <v>141</v>
      </c>
      <c r="D77" s="596"/>
      <c r="E77" s="244"/>
      <c r="F77" s="203" t="s">
        <v>142</v>
      </c>
      <c r="G77" s="194"/>
      <c r="I77" s="318"/>
      <c r="J77" s="318"/>
    </row>
    <row r="78" spans="2:10">
      <c r="B78" s="194"/>
      <c r="C78" s="596" t="s">
        <v>931</v>
      </c>
      <c r="D78" s="596"/>
      <c r="E78" s="272"/>
      <c r="F78" s="231" t="s">
        <v>143</v>
      </c>
      <c r="G78" s="194"/>
    </row>
    <row r="79" spans="2:10" ht="30" customHeight="1">
      <c r="B79" s="194"/>
      <c r="C79" s="602" t="s">
        <v>961</v>
      </c>
      <c r="D79" s="602"/>
      <c r="E79" s="245"/>
      <c r="F79" s="203"/>
      <c r="G79" s="194"/>
    </row>
    <row r="80" spans="2:10" ht="14.4" customHeight="1">
      <c r="B80" s="194"/>
      <c r="C80" s="221"/>
      <c r="D80" s="676" t="str">
        <f>IF(OR(E79="Other",E79=""),"If you have selected Other, please specify the expected source of this electricity, and enter the GHG intensity in the row below", "Not applicable, as 'Other' electricity source not selected, please move on to the next question")</f>
        <v>If you have selected Other, please specify the expected source of this electricity, and enter the GHG intensity in the row below</v>
      </c>
      <c r="E80" s="246"/>
      <c r="F80" s="203"/>
      <c r="G80" s="194"/>
    </row>
    <row r="81" spans="1:11" ht="14.4" customHeight="1">
      <c r="B81" s="194"/>
      <c r="C81" s="221"/>
      <c r="D81" s="677" t="str">
        <f>IF(OR(E79="Not applicable"),"Not applicable, please move on to the next question.", "Expected annual average GHG emissions intensity of any electricity used for theoretical compression/purification in the relevant calendar year of operations")</f>
        <v>Expected annual average GHG emissions intensity of any electricity used for theoretical compression/purification in the relevant calendar year of operations</v>
      </c>
      <c r="E81" s="495" t="str">
        <f>IF(E79="Grid electricity",IFERROR(INDEX(Assumptions!$F$5:$AJ$5,1,MATCH(Initial_questions!$E$24,Assumptions!$F$4:$AJ$4,0)),"Yet to provide year"),IF(E79="Wind/solar electricity",Assumptions!$C$14,IF(E79="Nuclear electricity",Assumptions!$C$13,IF(E79="Other","Input annual average GHG emissions intensity",IF(E79="Electricity input mix as above",$E$41,IF(E79="Not applicable", "Not applicable","Yet to provide electricity source"))))))</f>
        <v>Yet to provide electricity source</v>
      </c>
      <c r="F81" s="222" t="s">
        <v>132</v>
      </c>
      <c r="G81" s="194"/>
    </row>
    <row r="82" spans="1:11">
      <c r="B82" s="194"/>
      <c r="C82" s="611" t="s">
        <v>144</v>
      </c>
      <c r="D82" s="611"/>
      <c r="E82" s="148"/>
      <c r="F82" s="204"/>
      <c r="G82" s="194"/>
    </row>
    <row r="83" spans="1:11">
      <c r="B83" s="194"/>
      <c r="C83" s="597"/>
      <c r="D83" s="597"/>
      <c r="E83" s="213"/>
      <c r="F83" s="232"/>
      <c r="G83" s="194"/>
    </row>
    <row r="84" spans="1:11" ht="15.6">
      <c r="B84" s="595" t="str" cm="1">
        <f t="array" ref="B84">IF(OR(E21=Units!B125:B128,E21=Units!B130,E21=Units!B132,E21=Units!B134,E21=Units!B136),"","Likely not relevant to your project - please move on to the next section")</f>
        <v>Likely not relevant to your project - please move on to the next section</v>
      </c>
      <c r="C84" s="207" t="str">
        <f>IF(OR(E21=Units!B125,E21=Units!B126,E21=Units!B127,E21=Units!B128,E21=Units!B130,E21=Units!B132,E21=Units!B134,E21=Units!B136),"CO2 capture","Not applicable, as no CO2 capture, please move on to the next section")</f>
        <v>Not applicable, as no CO2 capture, please move on to the next section</v>
      </c>
      <c r="D84" s="208"/>
      <c r="E84" s="220"/>
      <c r="F84" s="233"/>
      <c r="G84" s="194"/>
    </row>
    <row r="85" spans="1:11">
      <c r="B85" s="595"/>
      <c r="C85" s="596" t="str">
        <f>IF(OR(E21=Units!B125,E21=Units!B126,E21=Units!B127,E21=Units!B128,E21=Units!B130,E21=Units!B132,E21=Units!B134,E21=Units!B136),"If using CO2 capture, what is the projected annual average CO2 capture rate of the plant as a % of all CO2 generated onsite?", "Not applicable, as no CO2 capture, please move on to the next section")</f>
        <v>Not applicable, as no CO2 capture, please move on to the next section</v>
      </c>
      <c r="D85" s="596"/>
      <c r="E85" s="242"/>
      <c r="F85" s="234"/>
      <c r="G85" s="194"/>
    </row>
    <row r="86" spans="1:11">
      <c r="B86" s="595"/>
      <c r="C86" s="596" t="str">
        <f>IF(OR(E21=Units!B125,E21=Units!B126,E21=Units!B127,E21=Units!B128,E21=Units!B130,E21=Units!B132,E21=Units!B134,E21=Units!B136),"If using CO2 capture, what is the projected peak CO2 capture rate of the plant as a % of all CO2 generated onsite?", "Not applicable, as no CO2 capture, please move on to the next section")</f>
        <v>Not applicable, as no CO2 capture, please move on to the next section</v>
      </c>
      <c r="D86" s="596"/>
      <c r="E86" s="242"/>
      <c r="F86" s="234"/>
      <c r="G86" s="194"/>
    </row>
    <row r="87" spans="1:11">
      <c r="B87" s="595"/>
      <c r="C87" s="596" t="str">
        <f>IF(OR(E21=Units!B125,E21=Units!B126,E21=Units!B127,E21=Units!B128,E21=Units!B130,E21=Units!B132,E21=Units!B134,E21=Units!B136),"If using CO2 capture, what happens to the CO2?", "Not applicable, as no CO2 capture, please move on to the next section")</f>
        <v>Not applicable, as no CO2 capture, please move on to the next section</v>
      </c>
      <c r="D87" s="596"/>
      <c r="E87" s="148"/>
      <c r="F87" s="203"/>
      <c r="G87" s="194"/>
    </row>
    <row r="88" spans="1:11" ht="30" customHeight="1">
      <c r="B88" s="595"/>
      <c r="C88" s="235"/>
      <c r="D88" s="329" t="str">
        <f>IF(OR(E21=Units!B125,E21=Units!B126,E21=Units!B127,E21=Units!B128,E21=Units!B130,E21=Units!B132,E21=Units!B134,E21=Units!B136),"Please give further details of the CO2 transportation, storage and/or utilisation. If permanent storage is selected, please give details (if known) about CO2 storage location. If mixed is selected, please give the % that will be permanently stored", "Not applicable, as no CO2 capture, please move on to the next section")</f>
        <v>Not applicable, as no CO2 capture, please move on to the next section</v>
      </c>
      <c r="E88" s="137"/>
      <c r="F88" s="203"/>
      <c r="G88" s="194"/>
    </row>
    <row r="89" spans="1:11" ht="30" customHeight="1">
      <c r="B89" s="595"/>
      <c r="C89" s="602" t="str">
        <f>IF(OR(E21=Units!B125,E21=Units!B126,E21=Units!B127,E21=Units!B128,E21=Units!B130,E21=Units!B132,E21=Units!B134,E21=Units!B136),"If using CO2 capture, please provide references to documents that evidence engagement/arrangements with the CO2 Transport &amp; Storage networks. Please attach any evidence to support this.", "Not applicable, as no CO2 capture, please move on to the next section")</f>
        <v>Not applicable, as no CO2 capture, please move on to the next section</v>
      </c>
      <c r="D89" s="603"/>
      <c r="E89" s="137"/>
      <c r="F89" s="203"/>
      <c r="G89" s="194"/>
    </row>
    <row r="90" spans="1:11">
      <c r="B90" s="595"/>
      <c r="C90" s="596" t="str">
        <f>IF(OR(E21=Units!B125,E21=Units!B126,E21=Units!B127,E21=Units!B128,E21=Units!B130,E21=Units!B132,E21=Units!B134,E21=Units!B136),"If using CO2 capture, please confirm that emissions accounted for via sequestration are NOT credited or claimed elsewhere (e.g. carbon credit)", "Not applicable, as no CO2 capture, please move on to the next section")</f>
        <v>Not applicable, as no CO2 capture, please move on to the next section</v>
      </c>
      <c r="D90" s="596"/>
      <c r="E90" s="148"/>
      <c r="F90" s="203"/>
      <c r="G90" s="194"/>
    </row>
    <row r="91" spans="1:11">
      <c r="B91" s="595"/>
      <c r="C91" s="601" t="str">
        <f>IF(OR(E21=Units!B125,E21=Units!B126,E21=Units!B127,E21=Units!B128,E21=Units!B130,E21=Units!B132,E21=Units!B134,E21=Units!B136),"If using CO2 capture, please confirm that offsets are NOT used in any part of the emissions projections", "Not applicable, as no CO2 capture, please move on to the next section")</f>
        <v>Not applicable, as no CO2 capture, please move on to the next section</v>
      </c>
      <c r="D91" s="601"/>
      <c r="E91" s="148"/>
      <c r="F91" s="204"/>
      <c r="G91" s="194"/>
    </row>
    <row r="92" spans="1:11">
      <c r="B92" s="194"/>
      <c r="C92" s="597"/>
      <c r="D92" s="597"/>
      <c r="E92" s="210"/>
      <c r="F92" s="206"/>
      <c r="G92" s="194"/>
    </row>
    <row r="93" spans="1:11" ht="15.6">
      <c r="B93" s="194"/>
      <c r="C93" s="207" t="s">
        <v>148</v>
      </c>
      <c r="D93" s="208"/>
      <c r="E93" s="236"/>
      <c r="F93" s="209"/>
      <c r="G93" s="194"/>
    </row>
    <row r="94" spans="1:11" s="494" customFormat="1">
      <c r="A94" s="497"/>
      <c r="C94" s="500" t="str" cm="1">
        <f t="array" ref="C94">IF(OR(Pathway=Units!$B$130:$B$131), "Is food waste the feedstock analysed at the start of your pathway in this workbook, i.e. matching the feedstock used in the BEIS default emissions dataset?",
IF(OR(Pathway=Units!$B$132:$B$133), "Are forestry residues the feedstock analysed at the start of your pathway in this workbook, i.e. matching the feedstock used in the BEIS default emissions dataset?",
IF(OR(Pathway=Units!$B$134:$B$135),"Is Municipal Solid Waste the feedstock analysed at the start of your pathway in this workbook, i.e. matching the feedstock used in the BEIS default emissions dataset?",
"Not applicable, as one of the default biomass pathways not chosen, please move on to the next question")))</f>
        <v>Not applicable, as one of the default biomass pathways not chosen, please move on to the next question</v>
      </c>
      <c r="D94" s="498"/>
      <c r="E94" s="148"/>
      <c r="F94" s="499"/>
      <c r="I94" s="316"/>
      <c r="J94" s="316"/>
      <c r="K94" s="316"/>
    </row>
    <row r="95" spans="1:11" ht="44.4" customHeight="1">
      <c r="B95" s="194"/>
      <c r="C95" s="600" t="s">
        <v>912</v>
      </c>
      <c r="D95" s="600"/>
      <c r="E95" s="148"/>
      <c r="F95" s="469"/>
      <c r="G95" s="194"/>
    </row>
    <row r="96" spans="1:11">
      <c r="B96" s="194"/>
      <c r="C96" s="596" t="str">
        <f>IF(E95="Mixed", "If Mixed data selected above, please specify if the Feedstock Supply emissions data are projected or default data are used?", "Not applicable, as Mixed data not selected, please move on to the next question")</f>
        <v>Not applicable, as Mixed data not selected, please move on to the next question</v>
      </c>
      <c r="D96" s="597"/>
      <c r="E96" s="148"/>
      <c r="F96" s="203"/>
      <c r="G96" s="194"/>
    </row>
    <row r="97" spans="2:7">
      <c r="B97" s="194"/>
      <c r="C97" s="596" t="str">
        <f>IF(E95="Mixed", "If Mixed data selected above, please specify if the Energy Supply emissions data are projected or default data are used?", "Not applicable, as Mixed data not selected, please move on to the next question")</f>
        <v>Not applicable, as Mixed data not selected, please move on to the next question</v>
      </c>
      <c r="D97" s="597"/>
      <c r="E97" s="148"/>
      <c r="F97" s="203"/>
      <c r="G97" s="194"/>
    </row>
    <row r="98" spans="2:7">
      <c r="B98" s="194"/>
      <c r="C98" s="596" t="str">
        <f>IF(E95="Mixed", "If Mixed data selected above, please specify if the Input Materials emissions data are projected or default data are used?", "Not applicable, as Mixed data not selected, please move on to the next question")</f>
        <v>Not applicable, as Mixed data not selected, please move on to the next question</v>
      </c>
      <c r="D98" s="597"/>
      <c r="E98" s="148"/>
      <c r="F98" s="203"/>
      <c r="G98" s="194"/>
    </row>
    <row r="99" spans="2:7" ht="50.1" customHeight="1">
      <c r="B99" s="194"/>
      <c r="C99" s="602" t="s">
        <v>150</v>
      </c>
      <c r="D99" s="602"/>
      <c r="E99" s="137"/>
      <c r="F99" s="203"/>
      <c r="G99" s="194"/>
    </row>
    <row r="100" spans="2:7" ht="53.4" customHeight="1">
      <c r="B100" s="194"/>
      <c r="C100" s="599" t="s">
        <v>921</v>
      </c>
      <c r="D100" s="599"/>
      <c r="E100" s="137"/>
      <c r="F100" s="204"/>
      <c r="G100" s="194"/>
    </row>
    <row r="101" spans="2:7">
      <c r="B101" s="194"/>
      <c r="C101" s="237"/>
      <c r="D101" s="237"/>
      <c r="E101" s="351"/>
      <c r="F101" s="237"/>
      <c r="G101" s="194"/>
    </row>
    <row r="102" spans="2:7">
      <c r="B102" s="194"/>
      <c r="C102" s="194"/>
      <c r="D102" s="194"/>
      <c r="E102" s="344"/>
      <c r="F102" s="194"/>
      <c r="G102" s="194"/>
    </row>
    <row r="103" spans="2:7" ht="23.4">
      <c r="B103" s="194"/>
      <c r="C103" s="238" t="s">
        <v>151</v>
      </c>
      <c r="D103" s="194"/>
      <c r="E103" s="352"/>
      <c r="F103" s="194"/>
      <c r="G103" s="194"/>
    </row>
    <row r="104" spans="2:7" ht="36">
      <c r="B104" s="194"/>
      <c r="C104" s="194"/>
      <c r="D104" s="330" t="s">
        <v>152</v>
      </c>
      <c r="E104" s="352"/>
      <c r="F104" s="194"/>
      <c r="G104" s="194"/>
    </row>
    <row r="105" spans="2:7" ht="18">
      <c r="B105" s="194"/>
      <c r="C105" s="194"/>
      <c r="D105" s="239" t="str" cm="1">
        <f t="array" ref="D105">IF(OR(E21=Units!B120:B124), "2. This will bring up the Custom Views menu, as seen on the right. Please click on the Electrolysis view and press Show.",IF(OR(E21=Units!B125:B127),"2. This will bring up the Custom Views menu, as seen on the right. Please click on the Fossil reforming with CCS view and press Show.",IF(OR(E21=Units!B128:B131),"2. This will bring up the Custom Views menu, as seen on the right. Please click on the Biomethane reforming view and press Show.",IF(OR(E21=Units!B132:B133),"2. This will bring up the Custom Views menu, as seen on the right. Please click on the Biomass gasification view and press Show.",IF(OR(E21=Units!B134:B135),"2. This will bring up the Custom Views menu, as seen on the right. Please click on the Waste gasification view and press Show.",IF(E21=Units!B136,"2. This will bring up the Custom Views menu, as seen on the right. Please click on the Other view and press Show", "2. This will bring up the Custom Views menu, as seen on the right. Please click on the pathway relevant to your project and press Show."))))))</f>
        <v>2. This will bring up the Custom Views menu, as seen on the right. Please click on the pathway relevant to your project and press Show.</v>
      </c>
      <c r="E105" s="344"/>
      <c r="F105" s="194"/>
      <c r="G105" s="194"/>
    </row>
    <row r="106" spans="2:7" ht="36">
      <c r="B106" s="194"/>
      <c r="C106" s="194"/>
      <c r="D106" s="330" t="s">
        <v>785</v>
      </c>
      <c r="E106" s="344"/>
      <c r="F106" s="194"/>
      <c r="G106" s="194"/>
    </row>
    <row r="107" spans="2:7" ht="18">
      <c r="B107" s="194"/>
      <c r="C107" s="194"/>
      <c r="D107" s="240" t="str" cm="1">
        <f t="array" ref="D107">IF(AND(E21=Units!B125:B127,OR(E95:E96="Default")),"4. Then, please move on to and complete the NG Reforming + CCS worksheet.",IF(AND(E21=Units!B128:B131,OR(E95:E96="Default")),"4. Then, please move on to and complete the Biomethane Reforming (+CCS) worksheet.",IF(AND(E21=Units!B132:B133,OR(E95:E96="Default")),"4. Then, please move on to and complete the Biomass Gasification (+CCS) worksheet.",IF(AND(E21=Units!B134:B135,OR(E95:E96="Default")),"4. Then, please move on to and complete the Waste Gasification (+CCS) worksheet.",IF(OR(E21=Units!B120:B124),"4. Then, please move to and complete the Electrolysis worksheet.",IF(OR(E21=Units!B125:B127),"4. Then, please move on to and complete the NG Collection worksheet as well as the sequential supply chain component worksheets for the Fossil pathway.",IF(OR(E21=Units!B128:B131),"4. Then, please move on to and complete the Biogas Feedstock Cultivation worksheet as well as the sequential supply chain component worksheets for the Biomethane pathway.",IF(OR(E21=Units!B132:B133),"4. Then, please move on to and complete the Biomass Cultivation worksheet as well as the sequential supply chain component worksheets for the Biomass pathway.",IF(OR(E21=Units!B134:B135),"4. Then, please move on to and complete the Waste Collection worksheet as well as the sequential supply chain component worksheets for the Waste pathway.",IF(E21=Units!B136,"4. Then, please move on and complete the Generic Feedstock Cultivation worksheet, as well as the sequential supply chain component worksheets for the Other pathway.","4. Please go back to the Technology section and select a hydrogen production pathway."))))))))))</f>
        <v>4. Please go back to the Technology section and select a hydrogen production pathway.</v>
      </c>
      <c r="E107" s="344"/>
      <c r="F107" s="194"/>
      <c r="G107" s="194"/>
    </row>
    <row r="108" spans="2:7" ht="18">
      <c r="B108" s="194"/>
      <c r="C108" s="194"/>
      <c r="D108" s="240" t="str" cm="1">
        <f t="array" ref="D108">IF(OR(E21=Units!B120:B124),"5. Afterwards, please check the result in the GHG Electrolysis worksheet.",IF(OR(E21=Units!B125:B127),"5. Afterwards, please check the result in the GHG Fossil Reform + CCS worksheet.",IF(OR(E21=Units!B128:B131),"5. Afterwards, please check the result in the GHG Biomethane Reform worksheet.",IF(OR(E21=Units!B132:B133),"5. Afterwards, please check the result in the GHG Biomass Gasification worksheet.",IF(OR(E21=Units!B134:B135),"5. Afterwards, please check the result in the GHG Waste Gasification worksheet.",IF(E21=Units!B136,"5. Afterwards, please check the result in the GHG Generic Other worksheet.",""))))))</f>
        <v/>
      </c>
      <c r="E108" s="344"/>
      <c r="F108" s="194"/>
      <c r="G108" s="194"/>
    </row>
    <row r="109" spans="2:7" ht="18">
      <c r="B109" s="194"/>
      <c r="C109" s="194"/>
      <c r="D109" s="240" t="str">
        <f>IF(D108="", "","6. Finally, check the Dashboard workbook that you have completed all required fields, and input any other consignment results calculated in other workbooks and their weighted shares to calculate an overall weighted average GHG emissions result.")</f>
        <v/>
      </c>
      <c r="E109" s="344"/>
      <c r="F109" s="194"/>
      <c r="G109" s="194"/>
    </row>
    <row r="110" spans="2:7" ht="23.4">
      <c r="B110" s="194"/>
      <c r="C110" s="238" t="s">
        <v>153</v>
      </c>
      <c r="D110" s="194"/>
      <c r="E110" s="344"/>
      <c r="F110" s="194"/>
      <c r="G110" s="194"/>
    </row>
    <row r="111" spans="2:7" ht="23.4">
      <c r="B111" s="194"/>
      <c r="C111" s="238"/>
      <c r="D111" s="567" t="s">
        <v>786</v>
      </c>
      <c r="E111" s="344"/>
      <c r="F111" s="194"/>
      <c r="G111" s="194"/>
    </row>
    <row r="112" spans="2:7" ht="20.399999999999999" customHeight="1">
      <c r="B112" s="194"/>
      <c r="C112" s="238"/>
      <c r="D112" s="471" t="str" cm="1">
        <f t="array" aca="1" ref="D112" ca="1">HYPERLINK(CELL("address",System_Boundary!A1), "System Boundary worksheet")</f>
        <v>System Boundary worksheet</v>
      </c>
      <c r="E112" s="344"/>
      <c r="F112" s="194"/>
      <c r="G112" s="194"/>
    </row>
    <row r="113" spans="2:7" ht="25.8" customHeight="1">
      <c r="B113" s="194"/>
      <c r="C113" s="194"/>
      <c r="D113" s="567" t="str" cm="1">
        <f t="array" ref="D113">IF(AND(E21=Units!B125:B127,OR(E95:E96="Default")),"2. Then, please move on to and complete the NG Reforming + CCS worksheet via the link below.",IF(AND(E21=Units!B128:B131,OR(E95:E96="Default")),"2. Then, please move on to and complete the Biomethane Reforming (+CCS) worksheet via the link below.",IF(AND(E21=Units!B132:B133,OR(E95:E96="Default")),"2. Then, please move on to and complete the Biomass Gasification (+CCS) worksheet via the link below.",IF(AND(E21=Units!B134:B135,OR(E95:E96="Default")),"2. Then, please move on to and complete the Waste Gasification (+CCS) worksheet via the link below.",IF(AND(E21=Units!B136,OR(E95:E96="Default")),"2. The, please move on to and complete the Generic Conversion worksheet via the link below.",IF(OR(E21=Units!B120:B124),"2. Then, please move to and complete the Electrolysis worksheet via the link below.",IF(OR(E21=Units!B125:B127),"2. Then, please move on to and complete the NG Collection worksheet via the link below, as well as the sequential supply chain component worksheets for the Fossil pathway.",IF(OR(E21=Units!B128:B131),"2. Then, please move on to and complete the Biogas Feedstock Cultivation worksheet via the link below, as well as the sequential supply chain component worksheets for the Biomethane pathway.",IF(OR(E21=Units!B132:B133),"2. Then, please move on to and complete the Biomass Cultivation worksheet via the link below, as well as the sequential supply chain component worksheets for the Biomass pathway.",IF(OR(E21=Units!B134:B135),"2. Then, please move on to and complete the Waste Collection worksheet via the link below, as well as the sequential supply chain component worksheets for the Waste pathway.",IF(E21=Units!B136,"2. Then, please move on and complete the Generic Feedstock Cultivation worksheet via the link below, as well as the sequential supply chain component worksheets for the Other pathway.","2. Please go back to the Technology section and select a hydrogen production pathway.")))))))))))</f>
        <v>2. Please go back to the Technology section and select a hydrogen production pathway.</v>
      </c>
      <c r="E113" s="353"/>
      <c r="F113" s="194"/>
      <c r="G113" s="194"/>
    </row>
    <row r="114" spans="2:7" ht="18">
      <c r="B114" s="194"/>
      <c r="C114" s="194"/>
      <c r="D114" s="473" t="str" cm="1">
        <f t="array" aca="1" ref="D114" ca="1">IF(AND(E21=Units!B125:B127,OR(E95:E96="Default")),HYPERLINK(CELL("address",NG_Reforming_CCS!A1),"NG Reforming + CCS worksheet"),IF(AND(E21=Units!B128:B131,OR(E95:E96="Default")),HYPERLINK(CELL("address",Biomethane_Reforming_CCS!A1),"Biomethane Reforming (+CCS) worksheet"),IF(AND(E21=Units!B132:B133,OR(E95:E96="Default")),HYPERLINK(CELL("address",Biomass_Gasification_CCS!A1),"Biomass Gasification (+CCS) worksheet"),IF(AND(E21=Units!B134:B135,OR(E95:E96="Default")),HYPERLINK(CELL("address",Waste_Gasification_CCS!A1),"Waste Gasification (+CCS) worksheet"),IF(AND(E21="Other",OR(E95:E96="Default")),HYPERLINK(CELL("address",Generic_Conversion!A1),"Generic Conversion worksheet"),IF(OR(E21=Units!B120:B124),HYPERLINK(CELL("address",Electrolysis!A1),"Electrolysis worksheet"),IF(OR(E21=Units!B125:B127),HYPERLINK(CELL("address",NG_Collection!A1),"NG Collection worksheet"),IF(OR(E21=Units!B128:B131),HYPERLINK(CELL("address",Biogas_Feedstock_Cultivation!A1),"Biogas Feedstock Cultivation worksheet"),IF(OR(E21=Units!B132:B133),HYPERLINK(CELL("address",Biomass_Cultivation!A1),"Biomass Cultivation worksheet"),IF(OR(E21=Units!B134:B135),HYPERLINK(CELL("address",Waste_Collection!A1),"Waste Collection worksheet"),IF(E21=Units!B136,HYPERLINK(CELL("address",Generic_Feedstock_Cultivation!A1),"Generic Feedstock Cultivation worksheet"),"Please go back to the Technology section and select a hydrogen production pathway")))))))))))</f>
        <v>Please go back to the Technology section and select a hydrogen production pathway</v>
      </c>
      <c r="E114" s="344"/>
      <c r="F114" s="194"/>
      <c r="G114" s="194"/>
    </row>
    <row r="115" spans="2:7" ht="25.8" customHeight="1">
      <c r="B115" s="194"/>
      <c r="C115" s="238"/>
      <c r="D115" s="567" t="str" cm="1">
        <f t="array" ref="D115">IF(AND(E21=Units!B125:B127,OR(E95:E96="Default")),"3. Afterwards, please check the result in the GHG Fossil Reform + CCS summary worksheet, accessible via the link below.",IF(AND(E21=Units!B128:B131,OR(E95:E96="Default")),"3. Afterwards, please check the result in the GHG Biomethane Reform summary worksheet, accessible via the link below.",IF(AND(E21=Units!B132:B133,OR(E95:E96="Default")),"3. Afterwards, please check the result in the GHG Biomass Gasification summary worksheet, accessible via the link below.",IF(AND(E21=Units!B134:B135,OR(E95:E96="Default")),"3. Afterwards, please check the result in the GHG Waste Gasification summary worksheet, accessible via the link below.",IF(OR(E21=Units!B120:B124),"3. Afterwards, please check the result in the GHG Electrolysis summary worksheet, accessible via the link below.",IF(OR(E21=Units!B125:B127),"3. After completing the relevant supply chain component worksheets for the Fossil pathway, please check the result in the GHG Fossil Reform + CCS summary worksheet (accessible via the link below).",IF(OR(E21=Units!B128:B131),"3. After completing the relevant supply chain component worksheets for the Biomethane pathway, please check the result in the GHG Biomethane Reform summary worksheet (accessible via the link below).",IF(OR(E21=Units!B132:B133),"3. After completing the relevant supply chain component worksheets for the Biomass pathway, please check the result in the GHG Biomass Gasification summary worksheet (accessible via the link below).",IF(OR(E21=Units!B134:B135),"3. After completing the relevant supply chain component worksheets for the Waste pathway, please check the result in the GHG Waste Gasification summary worksheet (accessible via the link below).",IF(E21=Units!B136,"3. After completing the relevant supply chain component worksheets for the Other pathway, please check the result in the GHG Generic Other summary worksheet (accessible via the link below).",""))))))))))</f>
        <v/>
      </c>
      <c r="E115" s="344"/>
      <c r="F115" s="194"/>
      <c r="G115" s="194"/>
    </row>
    <row r="116" spans="2:7" ht="18">
      <c r="B116" s="194"/>
      <c r="C116" s="194"/>
      <c r="D116" s="472" t="str" cm="1">
        <f t="array" aca="1" ref="D116" ca="1">IF(OR(E21=Units!B120:B124), HYPERLINK(CELL("address", GHG_ELECTROLYSIS!A1),"Electrolysis summary GHG worksheet"),IF(OR(E21=Units!B125:B127),HYPERLINK(CELL("address",GHG_FOSSIL_REFORM_CCS!A1),"Fossil Reform + CCS summary GHG worksheet"),IF(OR(E21=Units!B128:B131),HYPERLINK(CELL("address",GHG_BIOMETHANE_REFORM!A1),"Biomethane reformation (+CCS) summary GHG worksheet"),IF(OR(E21=Units!B132:B133),HYPERLINK(CELL("address",GHG_BIOMASS_GASIFICATION!A1),"Biomass gasification summary GHG worksheet"),IF(OR(E21=Units!B134:B135),HYPERLINK(CELL("address",GHG_WASTE_GASIFICATION!A1),"Waste gasification summary GHG worksheet"),IF(E21=Units!B136,HYPERLINK(CELL("address",GHG_GENERIC_OTHER!A1),"Other pathway summary GHG worksheet"),"Please go back to the Technology section and select a hydrogen production pathway"))))))</f>
        <v>Please go back to the Technology section and select a hydrogen production pathway</v>
      </c>
      <c r="E116" s="344"/>
      <c r="F116" s="194"/>
      <c r="G116" s="194"/>
    </row>
    <row r="117" spans="2:7" ht="24" customHeight="1">
      <c r="B117" s="194"/>
      <c r="C117" s="194"/>
      <c r="D117" s="330" t="str">
        <f>IF(D115="","","4. Finally, complete and check the Dashboard worksheet.")</f>
        <v/>
      </c>
      <c r="E117" s="344"/>
      <c r="F117" s="194"/>
      <c r="G117" s="194"/>
    </row>
    <row r="118" spans="2:7" ht="18">
      <c r="B118" s="194"/>
      <c r="C118" s="194"/>
      <c r="D118" s="471" t="s">
        <v>706</v>
      </c>
      <c r="E118" s="344"/>
      <c r="F118" s="194"/>
      <c r="G118" s="194"/>
    </row>
    <row r="119" spans="2:7" ht="23.4">
      <c r="B119" s="194"/>
      <c r="C119" s="238"/>
      <c r="D119" s="356" t="s">
        <v>154</v>
      </c>
      <c r="E119" s="344"/>
      <c r="F119" s="194"/>
      <c r="G119" s="194"/>
    </row>
    <row r="120" spans="2:7" ht="18">
      <c r="B120" s="194"/>
      <c r="C120" s="194"/>
      <c r="D120" s="239"/>
      <c r="E120" s="344"/>
      <c r="F120" s="194"/>
      <c r="G120" s="194"/>
    </row>
    <row r="121" spans="2:7" ht="18">
      <c r="B121" s="194"/>
      <c r="C121" s="194"/>
      <c r="D121" s="239"/>
      <c r="E121" s="344"/>
      <c r="F121" s="194"/>
      <c r="G121" s="194"/>
    </row>
    <row r="122" spans="2:7">
      <c r="B122" s="194"/>
      <c r="C122" s="194"/>
      <c r="D122" s="194"/>
      <c r="E122" s="344"/>
      <c r="F122" s="194"/>
      <c r="G122" s="194"/>
    </row>
    <row r="124" spans="2:7" ht="21">
      <c r="D124" s="342"/>
    </row>
  </sheetData>
  <customSheetViews>
    <customSheetView guid="{43B6AE9C-E429-4506-98F3-C388B54AB8B6}" showGridLines="0" topLeftCell="A100">
      <selection activeCell="B100" sqref="B100"/>
      <pageMargins left="0" right="0" top="0" bottom="0" header="0" footer="0"/>
      <pageSetup paperSize="9" orientation="portrait" horizontalDpi="90" verticalDpi="90" r:id="rId1"/>
    </customSheetView>
    <customSheetView guid="{D41C0D8C-591E-4B34-99B3-B45BA51A58EC}" showGridLines="0" topLeftCell="A100">
      <selection activeCell="B100" sqref="B100"/>
      <pageMargins left="0" right="0" top="0" bottom="0" header="0" footer="0"/>
      <pageSetup paperSize="9" orientation="portrait" horizontalDpi="90" verticalDpi="90" r:id="rId2"/>
    </customSheetView>
    <customSheetView guid="{8F590910-6C03-4233-9C41-6540BF2DE453}" showGridLines="0" topLeftCell="A100">
      <selection activeCell="B100" sqref="B100"/>
      <pageMargins left="0" right="0" top="0" bottom="0" header="0" footer="0"/>
      <pageSetup paperSize="9" orientation="portrait" horizontalDpi="90" verticalDpi="90" r:id="rId3"/>
    </customSheetView>
    <customSheetView guid="{55CEC4CC-9BBF-4F2D-BA17-E94F4B26FAC5}" showGridLines="0" topLeftCell="A100">
      <selection activeCell="B100" sqref="B100"/>
      <pageMargins left="0" right="0" top="0" bottom="0" header="0" footer="0"/>
      <pageSetup paperSize="9" orientation="portrait" horizontalDpi="90" verticalDpi="90" r:id="rId4"/>
    </customSheetView>
    <customSheetView guid="{7735C88E-3A13-4DCF-BB32-4D20A306A8BB}" showGridLines="0" topLeftCell="A100">
      <selection activeCell="B100" sqref="B100"/>
      <pageMargins left="0" right="0" top="0" bottom="0" header="0" footer="0"/>
      <pageSetup paperSize="9" orientation="portrait" horizontalDpi="90" verticalDpi="90" r:id="rId5"/>
    </customSheetView>
    <customSheetView guid="{27B9E3C6-8189-41E0-896B-02A30393FDC0}" showGridLines="0" topLeftCell="A97">
      <selection activeCell="B100" sqref="B100"/>
      <pageMargins left="0" right="0" top="0" bottom="0" header="0" footer="0"/>
      <pageSetup paperSize="9" orientation="portrait" horizontalDpi="90" verticalDpi="90" r:id="rId6"/>
    </customSheetView>
    <customSheetView guid="{ED9AC919-98EB-43A3-A158-23FD7D007D30}" showGridLines="0">
      <selection activeCell="D1" sqref="D1"/>
      <pageMargins left="0" right="0" top="0" bottom="0" header="0" footer="0"/>
      <pageSetup paperSize="9" orientation="portrait" horizontalDpi="90" verticalDpi="90" r:id="rId7"/>
    </customSheetView>
  </customSheetViews>
  <mergeCells count="60">
    <mergeCell ref="G45:H45"/>
    <mergeCell ref="G48:H48"/>
    <mergeCell ref="C86:D86"/>
    <mergeCell ref="B57:B64"/>
    <mergeCell ref="B84:B91"/>
    <mergeCell ref="C58:D58"/>
    <mergeCell ref="C60:D60"/>
    <mergeCell ref="C61:D61"/>
    <mergeCell ref="C59:D59"/>
    <mergeCell ref="C63:D63"/>
    <mergeCell ref="C62:D62"/>
    <mergeCell ref="C64:D64"/>
    <mergeCell ref="C79:D79"/>
    <mergeCell ref="C78:D78"/>
    <mergeCell ref="C82:D82"/>
    <mergeCell ref="C71:D71"/>
    <mergeCell ref="C14:D14"/>
    <mergeCell ref="C16:D16"/>
    <mergeCell ref="C24:D24"/>
    <mergeCell ref="C27:D27"/>
    <mergeCell ref="C29:D29"/>
    <mergeCell ref="C23:D23"/>
    <mergeCell ref="C19:D19"/>
    <mergeCell ref="C25:D25"/>
    <mergeCell ref="C21:D21"/>
    <mergeCell ref="C28:D28"/>
    <mergeCell ref="C18:D18"/>
    <mergeCell ref="C15:D15"/>
    <mergeCell ref="C30:D30"/>
    <mergeCell ref="C32:D32"/>
    <mergeCell ref="C67:D67"/>
    <mergeCell ref="C65:D65"/>
    <mergeCell ref="C43:D43"/>
    <mergeCell ref="C34:D34"/>
    <mergeCell ref="C31:D31"/>
    <mergeCell ref="C55:D55"/>
    <mergeCell ref="C44:D44"/>
    <mergeCell ref="C66:D66"/>
    <mergeCell ref="C100:D100"/>
    <mergeCell ref="C95:D95"/>
    <mergeCell ref="C91:D91"/>
    <mergeCell ref="C90:D90"/>
    <mergeCell ref="C87:D87"/>
    <mergeCell ref="C99:D99"/>
    <mergeCell ref="C92:D92"/>
    <mergeCell ref="C89:D89"/>
    <mergeCell ref="C96:D96"/>
    <mergeCell ref="C97:D97"/>
    <mergeCell ref="C98:D98"/>
    <mergeCell ref="C70:D70"/>
    <mergeCell ref="C69:D69"/>
    <mergeCell ref="B66:B68"/>
    <mergeCell ref="B70:B72"/>
    <mergeCell ref="C85:D85"/>
    <mergeCell ref="C83:D83"/>
    <mergeCell ref="C77:D77"/>
    <mergeCell ref="C73:D73"/>
    <mergeCell ref="C76:D76"/>
    <mergeCell ref="C74:D74"/>
    <mergeCell ref="C75:D75"/>
  </mergeCells>
  <conditionalFormatting sqref="G51">
    <cfRule type="expression" dxfId="2" priority="5">
      <formula>"SUM($F$24:$F$29)&lt;100"</formula>
    </cfRule>
  </conditionalFormatting>
  <conditionalFormatting sqref="D114">
    <cfRule type="cellIs" dxfId="1" priority="2" operator="equal">
      <formula>0</formula>
    </cfRule>
  </conditionalFormatting>
  <conditionalFormatting sqref="E81">
    <cfRule type="expression" dxfId="0" priority="1">
      <formula>ISNUMBER(E81)=TRUE</formula>
    </cfRule>
  </conditionalFormatting>
  <dataValidations count="20">
    <dataValidation type="list" showInputMessage="1" showErrorMessage="1" errorTitle="Please select from the drop down" sqref="E21" xr:uid="{C2C021BE-923B-48F7-9D24-943CDCEBE2C3}">
      <formula1>Pathway_list</formula1>
    </dataValidation>
    <dataValidation type="list" showInputMessage="1" showErrorMessage="1" sqref="E67" xr:uid="{A5A72204-A510-44AF-800A-597BE6B3FBCE}">
      <formula1>Gas</formula1>
    </dataValidation>
    <dataValidation type="list" showInputMessage="1" showErrorMessage="1" sqref="E87" xr:uid="{E51EA58B-9933-4F55-9C9E-C54E0868A780}">
      <formula1>Capture</formula1>
    </dataValidation>
    <dataValidation type="list" showInputMessage="1" showErrorMessage="1" sqref="E90" xr:uid="{47E8F630-2915-4562-8EEB-D6DD00832394}">
      <formula1>Credit</formula1>
    </dataValidation>
    <dataValidation type="list" showInputMessage="1" showErrorMessage="1" sqref="E29" xr:uid="{29EDCD2E-CDE7-4009-83DA-F4D2B97E5659}">
      <formula1>Location</formula1>
    </dataValidation>
    <dataValidation type="list" showInputMessage="1" showErrorMessage="1" sqref="E91" xr:uid="{1332DB4B-38C5-4077-B680-C4CD34B7EADF}">
      <formula1>Offset</formula1>
    </dataValidation>
    <dataValidation type="list" showInputMessage="1" showErrorMessage="1" sqref="E27" xr:uid="{407C6F62-9C83-4BE3-8262-A31DE4EB14FE}">
      <formula1>Feedstock</formula1>
    </dataValidation>
    <dataValidation type="list" showInputMessage="1" showErrorMessage="1" sqref="E71" xr:uid="{AACC648B-3C05-4BD9-955C-EE50CA4D0797}">
      <formula1>Biomethane</formula1>
    </dataValidation>
    <dataValidation type="list" showInputMessage="1" showErrorMessage="1" sqref="E62" xr:uid="{2074AA4B-01FA-4E1A-B62C-455B68E62D18}">
      <formula1>iluc</formula1>
    </dataValidation>
    <dataValidation type="list" showInputMessage="1" showErrorMessage="1" sqref="E79" xr:uid="{0C4B51AC-A925-4C75-89A7-FFC82CBC1902}">
      <formula1>electro</formula1>
    </dataValidation>
    <dataValidation type="list" showInputMessage="1" showErrorMessage="1" sqref="E24" xr:uid="{2A0471D6-0A2F-407B-8D15-C2DA89520A4D}">
      <formula1>Commission</formula1>
    </dataValidation>
    <dataValidation type="list" showInputMessage="1" showErrorMessage="1" sqref="E82 E17 E23" xr:uid="{30976534-7487-4A57-AE70-B00CF6E304F1}">
      <formula1>Risk</formula1>
    </dataValidation>
    <dataValidation type="list" showInputMessage="1" showErrorMessage="1" sqref="E31 E58:E60 E94" xr:uid="{945BDDCD-23BE-4620-B295-7DAB2421C072}">
      <formula1>Sustainability</formula1>
    </dataValidation>
    <dataValidation type="custom" allowBlank="1" showInputMessage="1" showErrorMessage="1" sqref="E75:E78 E85:E86 E63 E45:E53 E39 E41:E42" xr:uid="{732FE59B-30DF-4635-8032-28489FC2AD7E}">
      <formula1>ISNUMBER(E39)</formula1>
    </dataValidation>
    <dataValidation type="custom" allowBlank="1" showInputMessage="1" showErrorMessage="1" sqref="M59" xr:uid="{3DF13BD0-77FF-4577-A12F-6467FE0812F1}">
      <formula1>"password"</formula1>
    </dataValidation>
    <dataValidation type="custom" allowBlank="1" showInputMessage="1" showErrorMessage="1" error="Please do not change" sqref="E64" xr:uid="{04BCE484-44E2-483C-8C94-0D049CBB4853}">
      <formula1>"Please do not change"</formula1>
    </dataValidation>
    <dataValidation type="custom" allowBlank="1" showInputMessage="1" showErrorMessage="1" error="Please do not change this formula_x000a_" prompt="Please do not change this formula" sqref="E54" xr:uid="{970187B3-683C-4DE9-8FF7-64E65BBCCFFE}">
      <formula1>"Please do not change this formula"</formula1>
    </dataValidation>
    <dataValidation type="custom" allowBlank="1" showInputMessage="1" showErrorMessage="1" error="Please do not change_x000a_" sqref="C1:C10 G75:G76 F76 D82:D1048576 F77:G1048576 C80:C1048576 A1:A1048576 B1:B56 C12:C56 B57:D68 B69:B1048576 C69:D78 F1:G74 D48:D56 D1:D45" xr:uid="{CAD7FD28-5DF5-422F-A175-153C50C2C127}">
      <formula1>"Please do not change"</formula1>
    </dataValidation>
    <dataValidation type="decimal" allowBlank="1" showInputMessage="1" showErrorMessage="1" sqref="E35:E38" xr:uid="{F88DDF0B-BC18-4663-A734-77E29AD854E2}">
      <formula1>0</formula1>
      <formula2>10000000000</formula2>
    </dataValidation>
    <dataValidation type="custom" allowBlank="1" showInputMessage="1" showErrorMessage="1" errorTitle="Inpermissible assumption" error="The theoretical electricity must not have a lower GHG intensity than the projected electricity mix given above in cell E41" prompt="Ensure the theoretical electricity consumed does not have a lower GHG intensity than the projected electricity mix given above in cell E41" sqref="E81" xr:uid="{CD514674-26D1-4564-AB3C-8205EE72FB6D}">
      <formula1>E81&gt;=E41</formula1>
    </dataValidation>
  </dataValidations>
  <hyperlinks>
    <hyperlink ref="D118" location="Dashboard!A1" display="Dashboard worksheet" xr:uid="{9CDAE9BD-8E10-4563-B9D5-7E6D87EFB460}"/>
  </hyperlinks>
  <pageMargins left="0" right="0" top="0" bottom="0" header="0" footer="0"/>
  <pageSetup paperSize="9" orientation="portrait" horizontalDpi="90" verticalDpi="90" r:id="rId8"/>
  <drawing r:id="rId9"/>
  <extLst>
    <ext xmlns:x14="http://schemas.microsoft.com/office/spreadsheetml/2009/9/main" uri="{CCE6A557-97BC-4b89-ADB6-D9C93CAAB3DF}">
      <x14:dataValidations xmlns:xm="http://schemas.microsoft.com/office/excel/2006/main" count="4">
        <x14:dataValidation type="list" showInputMessage="1" showErrorMessage="1" xr:uid="{D9056506-133A-4DB0-BFBA-0FC20729FC3E}">
          <x14:formula1>
            <xm:f>IF($E$95="Default",Units!$P$121, IF($E$95="Projected",Units!$P$120,Proj_or_def))</xm:f>
          </x14:formula1>
          <xm:sqref>E98</xm:sqref>
        </x14:dataValidation>
        <x14:dataValidation type="list" showInputMessage="1" showErrorMessage="1" xr:uid="{4C780903-4080-4C70-AC12-2DEC300CB273}">
          <x14:formula1>
            <xm:f>IF($E$95="Default",Units!$P$121, IF(OR($E$95="Projected",Pathway=Units!$Z$123, AND(Pathway=Units!$Z$122, $E$38&gt;0)), Units!$P$120,Proj_or_def))</xm:f>
          </x14:formula1>
          <xm:sqref>E97</xm:sqref>
        </x14:dataValidation>
        <x14:dataValidation type="list" showInputMessage="1" showErrorMessage="1" xr:uid="{3ECAF090-5D7F-424A-9D00-713AB808C5BF}">
          <x14:formula1>
            <xm:f>IF($E$95="Default",Units!$P$121,IF(OR($E$95="Projected",Pathway=Units!$Z$123:$Z$125,AND(Pathway=Units!$Z$122,$E$38&gt;0),AND(OR(Pathway=Units!$B$125:$B$126),$E$67=Units!$G$121),AND(OR(Pathway=Units!$B$130:$B$135),$E$94="No")),Units!$P$120,Proj_or_def))</xm:f>
          </x14:formula1>
          <xm:sqref>E96</xm:sqref>
        </x14:dataValidation>
        <x14:dataValidation type="list" showInputMessage="1" showErrorMessage="1" xr:uid="{AC65EB17-2C01-4DDC-ADA8-3B2C000F8F9E}">
          <x14:formula1>
            <xm:f>IF(OR(OR(Pathway=Units!Z121:Z122),AND(OR(Pathway=Units!B133:B136),E94="No")),Units!P121,IF(OR(OR(Pathway=Units!Z123:Z126),AND(OR(Pathway=Units!B131:B132),E94="No"),AND(OR(Pathway=Units!B126:B127),E67=Units!G122)),Proj_or_mix, Data))</xm:f>
          </x14:formula1>
          <xm:sqref>E95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theme="1"/>
  </sheetPr>
  <dimension ref="A1:C11"/>
  <sheetViews>
    <sheetView showGridLines="0" zoomScaleNormal="100" workbookViewId="0"/>
  </sheetViews>
  <sheetFormatPr defaultColWidth="9.109375" defaultRowHeight="14.4"/>
  <cols>
    <col min="1" max="1" width="9.109375" style="2" customWidth="1"/>
    <col min="2" max="2" width="64.88671875" style="2" customWidth="1"/>
    <col min="3" max="3" width="39.5546875" style="2" customWidth="1"/>
    <col min="4" max="16384" width="9.109375" style="2"/>
  </cols>
  <sheetData>
    <row r="1" spans="1:3">
      <c r="A1" s="305"/>
      <c r="B1" s="305"/>
      <c r="C1" s="305"/>
    </row>
    <row r="2" spans="1:3" ht="28.8">
      <c r="A2" s="305"/>
      <c r="B2" s="195" t="s">
        <v>155</v>
      </c>
      <c r="C2" s="305"/>
    </row>
    <row r="3" spans="1:3">
      <c r="A3" s="305"/>
      <c r="B3" s="196"/>
      <c r="C3" s="305"/>
    </row>
    <row r="4" spans="1:3">
      <c r="A4" s="305"/>
      <c r="B4" s="496" t="s">
        <v>787</v>
      </c>
    </row>
    <row r="5" spans="1:3">
      <c r="A5" s="305"/>
      <c r="B5" s="578" t="s">
        <v>926</v>
      </c>
    </row>
    <row r="6" spans="1:3">
      <c r="A6" s="305"/>
      <c r="B6" s="612" t="str" cm="1">
        <f t="array" aca="1" ref="B6" ca="1">HYPERLINK(CELL("address",Initial_questions!B103), "After providing the schematic, please click here to return to the Initial questions worksheet for further instructions")</f>
        <v>After providing the schematic, please click here to return to the Initial questions worksheet for further instructions</v>
      </c>
      <c r="C6" s="613"/>
    </row>
    <row r="7" spans="1:3">
      <c r="B7" s="380" t="s">
        <v>156</v>
      </c>
    </row>
    <row r="8" spans="1:3">
      <c r="B8" s="379"/>
    </row>
    <row r="9" spans="1:3">
      <c r="B9" s="379"/>
    </row>
    <row r="10" spans="1:3">
      <c r="B10" s="306" t="s">
        <v>788</v>
      </c>
    </row>
    <row r="11" spans="1:3">
      <c r="B11" s="306"/>
    </row>
  </sheetData>
  <customSheetViews>
    <customSheetView guid="{43B6AE9C-E429-4506-98F3-C388B54AB8B6}" showGridLines="0">
      <selection activeCell="D1" sqref="D1"/>
      <pageMargins left="0" right="0" top="0" bottom="0" header="0" footer="0"/>
      <pageSetup paperSize="9" orientation="portrait" verticalDpi="0" r:id="rId1"/>
    </customSheetView>
    <customSheetView guid="{D41C0D8C-591E-4B34-99B3-B45BA51A58EC}" showGridLines="0">
      <selection activeCell="D1" sqref="D1"/>
      <pageMargins left="0" right="0" top="0" bottom="0" header="0" footer="0"/>
      <pageSetup paperSize="9" orientation="portrait" verticalDpi="0" r:id="rId2"/>
    </customSheetView>
    <customSheetView guid="{8F590910-6C03-4233-9C41-6540BF2DE453}" showGridLines="0">
      <selection activeCell="D1" sqref="D1"/>
      <pageMargins left="0" right="0" top="0" bottom="0" header="0" footer="0"/>
      <pageSetup paperSize="9" orientation="portrait" verticalDpi="0" r:id="rId3"/>
    </customSheetView>
    <customSheetView guid="{55CEC4CC-9BBF-4F2D-BA17-E94F4B26FAC5}" showGridLines="0">
      <selection activeCell="D1" sqref="D1"/>
      <pageMargins left="0" right="0" top="0" bottom="0" header="0" footer="0"/>
      <pageSetup paperSize="9" orientation="portrait" verticalDpi="0" r:id="rId4"/>
    </customSheetView>
    <customSheetView guid="{7735C88E-3A13-4DCF-BB32-4D20A306A8BB}" showGridLines="0">
      <selection activeCell="D1" sqref="D1"/>
      <pageMargins left="0" right="0" top="0" bottom="0" header="0" footer="0"/>
      <pageSetup paperSize="9" orientation="portrait" verticalDpi="0" r:id="rId5"/>
    </customSheetView>
    <customSheetView guid="{27B9E3C6-8189-41E0-896B-02A30393FDC0}" showGridLines="0">
      <selection activeCell="D1" sqref="D1"/>
      <pageMargins left="0" right="0" top="0" bottom="0" header="0" footer="0"/>
      <pageSetup paperSize="9" orientation="portrait" verticalDpi="0" r:id="rId6"/>
    </customSheetView>
    <customSheetView guid="{ED9AC919-98EB-43A3-A158-23FD7D007D30}" showGridLines="0">
      <selection activeCell="D1" sqref="D1"/>
      <pageMargins left="0" right="0" top="0" bottom="0" header="0" footer="0"/>
      <pageSetup paperSize="9" orientation="portrait" verticalDpi="0" r:id="rId7"/>
    </customSheetView>
  </customSheetViews>
  <mergeCells count="1">
    <mergeCell ref="B6:C6"/>
  </mergeCells>
  <pageMargins left="0" right="0" top="0" bottom="0" header="0" footer="0"/>
  <pageSetup paperSize="9" orientation="portrait" verticalDpi="0" r:id="rId8"/>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CDD0A-93B2-41A2-8F26-2C5C7229063B}">
  <sheetPr codeName="Sheet4">
    <tabColor theme="1"/>
  </sheetPr>
  <dimension ref="A1:H39"/>
  <sheetViews>
    <sheetView showGridLines="0" zoomScaleNormal="100" workbookViewId="0"/>
  </sheetViews>
  <sheetFormatPr defaultColWidth="8.88671875" defaultRowHeight="14.4"/>
  <cols>
    <col min="1" max="1" width="5.109375" customWidth="1"/>
    <col min="2" max="2" width="90.5546875" customWidth="1"/>
    <col min="3" max="3" width="38.77734375" customWidth="1"/>
    <col min="4" max="4" width="23.44140625" customWidth="1"/>
    <col min="5" max="5" width="35.109375" customWidth="1"/>
  </cols>
  <sheetData>
    <row r="1" spans="1:8">
      <c r="A1" s="194"/>
      <c r="B1" s="194"/>
      <c r="C1" s="194"/>
      <c r="D1" s="194"/>
      <c r="E1" s="194"/>
      <c r="F1" s="194"/>
      <c r="G1" s="194"/>
      <c r="H1" s="194"/>
    </row>
    <row r="2" spans="1:8" ht="28.8">
      <c r="A2" s="194"/>
      <c r="B2" s="195" t="s">
        <v>157</v>
      </c>
      <c r="C2" s="194"/>
      <c r="D2" s="194"/>
      <c r="E2" s="194"/>
      <c r="F2" s="194"/>
      <c r="G2" s="194"/>
      <c r="H2" s="194"/>
    </row>
    <row r="3" spans="1:8">
      <c r="A3" s="194"/>
      <c r="B3" s="194"/>
      <c r="C3" s="194"/>
      <c r="D3" s="194"/>
      <c r="E3" s="194"/>
      <c r="F3" s="194"/>
      <c r="G3" s="194"/>
      <c r="H3" s="194"/>
    </row>
    <row r="4" spans="1:8">
      <c r="A4" s="194"/>
      <c r="B4" s="194" t="s">
        <v>911</v>
      </c>
      <c r="C4" s="446" t="str">
        <f>IF(D4="","Yes","No")</f>
        <v>No</v>
      </c>
      <c r="D4" s="378" t="str">
        <f>IF(AND(Initial_questions!$E$79&lt;&gt;"Not applicable", Initial_questions!$E$81&lt;Initial_questions!$E$41), "GHG intensity of electricity used for theoretical compression/purification cannot be lower than input electricity mix", IF(COUNTIF(Initial_questions!C14:D18,"*Not applicable*")&lt;COUNTBLANK(Initial_questions!E14:E18),"Please answer all relevant questions in the Project details section of the Initial questions worksheet",IF(COUNTIF(Initial_questions!C21:D24,"*Not applicable*")&lt;COUNTBLANK(Initial_questions!E21:E24),"Please answer all relevant questions in the Technology section of the Initial questions worksheet",IF(COUNTIF(Initial_questions!C27:D31,"*Not applicable*")&lt;COUNTBLANK(Initial_questions!E27:E31),"Please answer all relevant questions in the Feedstock/main input energy origins section of the Initial questions worksheet",IF(COUNTIF(Initial_questions!C35:D43,"*Not applicable*")&lt;COUNTBLANK(Initial_questions!E35:E43),"Please answer all relevant questions in the Electricity inputs section of the Inital questions worksheet",IF(COUNTIF(Initial_questions!C45:D54,"*Not applicable*")&lt;COUNTBLANK(Initial_questions!E45:E54),"Please answer all relevant questions in the Electricity inputs section of the Inital questions worksheet",IF(COUNTIF(Initial_questions!C58:D64,"*Not applicable*")&lt;COUNTBLANK(Initial_questions!E58:E64),"Please answer all relevant questions in the Biomass feedstocks section of the Initial questions worksheet",IF(COUNTIF(Initial_questions!C67:D68,"*Not applicable*")&lt;COUNTBLANK(Initial_questions!E67:E68),"Please answer all relevant questions in the Fossil natural gas section of the Initial questions worksheet",IF(COUNTIF(Initial_questions!C71:D72,"*Not applicable*")&lt;COUNTBLANK(Initial_questions!E71:E72),"Please answer all relevant questions in the Biomethane section of the Initial questions worksheet",IF(COUNTIF(Initial_questions!C76:D82,"*Not applicable*")&lt;COUNTBLANK(Initial_questions!E76:E82), "Please answer all relevant questions in the Hydrogen output section of the Initial questions worksheet",IF(COUNTIF(Initial_questions!C85:D91,"*Not applicable*")&lt;COUNTBLANK(Initial_questions!E85:E91),"Please answer all relevant questions in the CO2 capture section of the Initial questions worksheet",IF(COUNTIF(Initial_questions!C94:D100,"*Not applicable*")&lt;COUNTBLANK(Initial_questions!E94:E100),"Please answer all relevant questions in the Data sources section of the Initial questions worksheet",""))))))))))))</f>
        <v>Please answer all relevant questions in the Project details section of the Initial questions worksheet</v>
      </c>
      <c r="E4" s="194"/>
      <c r="F4" s="194"/>
      <c r="G4" s="194"/>
      <c r="H4" s="194"/>
    </row>
    <row r="5" spans="1:8">
      <c r="A5" s="194"/>
      <c r="B5" s="194" t="s">
        <v>158</v>
      </c>
      <c r="C5" s="568" t="str">
        <f>IF(Pathway="", "No pathway selected", Pathway)</f>
        <v>No pathway selected</v>
      </c>
      <c r="D5" s="194"/>
      <c r="E5" s="194"/>
      <c r="F5" s="194"/>
      <c r="G5" s="194"/>
      <c r="H5" s="194"/>
    </row>
    <row r="6" spans="1:8">
      <c r="A6" s="194"/>
      <c r="B6" s="194" t="s">
        <v>159</v>
      </c>
      <c r="C6" s="446" t="str">
        <f>IF(AND(Initial_questions!E$17="Yes", Initial_questions!E$23="Yes"), "Yes", "No")</f>
        <v>No</v>
      </c>
      <c r="D6" s="194"/>
      <c r="E6" s="194"/>
      <c r="F6" s="194"/>
      <c r="G6" s="194"/>
      <c r="H6" s="194"/>
    </row>
    <row r="7" spans="1:8" ht="15.6">
      <c r="A7" s="194"/>
      <c r="B7" s="194" t="s">
        <v>160</v>
      </c>
      <c r="C7" s="447" t="str">
        <f>E27</f>
        <v>No pathway selected</v>
      </c>
      <c r="D7" s="335" t="s">
        <v>161</v>
      </c>
      <c r="E7" s="194"/>
      <c r="F7" s="194"/>
      <c r="G7" s="194"/>
      <c r="H7" s="194"/>
    </row>
    <row r="8" spans="1:8">
      <c r="A8" s="194"/>
      <c r="B8" s="194" t="s">
        <v>162</v>
      </c>
      <c r="C8" s="448" t="str">
        <f>Initial_questions!E42</f>
        <v>Please fill in the breakdown of electricity sources</v>
      </c>
      <c r="D8" s="194"/>
      <c r="E8" s="194"/>
      <c r="F8" s="194"/>
      <c r="G8" s="194"/>
      <c r="H8" s="194"/>
    </row>
    <row r="9" spans="1:8" ht="15.6">
      <c r="A9" s="194"/>
      <c r="B9" s="194" t="s">
        <v>163</v>
      </c>
      <c r="C9" s="449" t="str">
        <f>IF(OR(Initial_questions!E85 = "Not applicable",ISBLANK(Initial_questions!E85)), "Not applicable",Initial_questions!E85)</f>
        <v>Not applicable</v>
      </c>
      <c r="D9" s="194"/>
      <c r="E9" s="194"/>
      <c r="F9" s="194"/>
      <c r="G9" s="194"/>
      <c r="H9" s="194"/>
    </row>
    <row r="10" spans="1:8">
      <c r="A10" s="194"/>
      <c r="B10" s="194" t="s">
        <v>164</v>
      </c>
      <c r="C10" s="446" t="str" cm="1">
        <f t="array" ref="C10">IF(AND(OR(Initial_questions!E58="Yes",Initial_questions!E59="Yes",Initial_questions!E60="Yes"),(Initial_questions!E58:E60 &lt;&gt;"No")),"Yes",IF(OR(Initial_questions!E58:E60 = "No"),"No",IF(OR(Initial_questions!E58:E60 = "Not applicable",ISBLANK(Initial_questions!E58:E60)), "Not applicable","No")))</f>
        <v>Not applicable</v>
      </c>
      <c r="D10" s="194"/>
      <c r="E10" s="194"/>
      <c r="F10" s="194"/>
      <c r="G10" s="194"/>
      <c r="H10" s="194"/>
    </row>
    <row r="11" spans="1:8">
      <c r="A11" s="194"/>
      <c r="B11" s="194" t="s">
        <v>789</v>
      </c>
      <c r="C11" s="446" t="str">
        <f>IF(ISBLANK(Initial_questions!$E$31), "Not applicable",Initial_questions!$E$31)</f>
        <v>Not applicable</v>
      </c>
      <c r="D11" s="194"/>
      <c r="E11" s="194"/>
      <c r="F11" s="194"/>
      <c r="G11" s="194"/>
      <c r="H11" s="194"/>
    </row>
    <row r="12" spans="1:8" ht="15.6">
      <c r="A12" s="194"/>
      <c r="B12" s="194" t="s">
        <v>165</v>
      </c>
      <c r="C12" s="450" t="str">
        <f>IF(OR(Initial_questions!E62="Not applicable", ISBLANK(Initial_questions!E62)),"Not applicable",Initial_questions!E64)</f>
        <v>Not applicable</v>
      </c>
      <c r="D12" s="335" t="s">
        <v>161</v>
      </c>
      <c r="E12" s="194"/>
      <c r="F12" s="194"/>
      <c r="G12" s="194"/>
      <c r="H12" s="194"/>
    </row>
    <row r="13" spans="1:8">
      <c r="A13" s="194"/>
      <c r="B13" s="194" t="s">
        <v>166</v>
      </c>
      <c r="C13" s="446" t="str">
        <f>IF(ISBLANK(Initial_questions!E82), "No",Initial_questions!E82)</f>
        <v>No</v>
      </c>
      <c r="D13" s="194"/>
      <c r="E13" s="194"/>
      <c r="F13" s="194"/>
      <c r="G13" s="194"/>
      <c r="H13" s="194"/>
    </row>
    <row r="14" spans="1:8">
      <c r="A14" s="194"/>
      <c r="B14" s="194"/>
      <c r="C14" s="194"/>
      <c r="D14" s="194"/>
      <c r="E14" s="194"/>
      <c r="F14" s="194"/>
      <c r="G14" s="194"/>
      <c r="H14" s="194"/>
    </row>
    <row r="15" spans="1:8">
      <c r="A15" s="194"/>
      <c r="B15" s="194" t="s">
        <v>167</v>
      </c>
      <c r="C15" s="451" t="str">
        <f>IF(AND($C$5&lt;&gt;"No pathway selected",$C$7&lt;20.5,OR($C$10="Not applicable",$C$10="Yes"),$C$13="Yes", $C$6="Yes", OR($C$11="Not applicable", $C$11="Yes"),$C$4="Yes"),"Yes","No")</f>
        <v>No</v>
      </c>
      <c r="D15" s="194"/>
      <c r="E15" s="194"/>
      <c r="F15" s="194"/>
      <c r="G15" s="194"/>
      <c r="H15" s="194"/>
    </row>
    <row r="16" spans="1:8">
      <c r="A16" s="194"/>
      <c r="B16" s="194"/>
      <c r="C16" s="194"/>
      <c r="D16" s="194"/>
      <c r="E16" s="194"/>
      <c r="F16" s="194"/>
      <c r="G16" s="194"/>
      <c r="H16" s="194"/>
    </row>
    <row r="17" spans="1:8">
      <c r="A17" s="194"/>
      <c r="B17" s="194"/>
      <c r="C17" s="194"/>
      <c r="D17" s="194"/>
      <c r="E17" s="194"/>
      <c r="F17" s="194"/>
      <c r="G17" s="194"/>
      <c r="H17" s="194"/>
    </row>
    <row r="18" spans="1:8">
      <c r="A18" s="194"/>
      <c r="C18" s="194"/>
      <c r="D18" s="194"/>
      <c r="E18" s="194"/>
      <c r="F18" s="194"/>
      <c r="G18" s="194"/>
      <c r="H18" s="194"/>
    </row>
    <row r="19" spans="1:8" ht="28.8">
      <c r="A19" s="194"/>
      <c r="B19" s="195" t="s">
        <v>168</v>
      </c>
      <c r="C19" s="194"/>
      <c r="D19" s="194"/>
      <c r="E19" s="194"/>
      <c r="F19" s="194"/>
      <c r="G19" s="194"/>
      <c r="H19" s="194"/>
    </row>
    <row r="20" spans="1:8" ht="30">
      <c r="A20" s="194"/>
      <c r="B20" s="333" t="s">
        <v>790</v>
      </c>
      <c r="C20" s="28" t="s">
        <v>169</v>
      </c>
      <c r="D20" s="338" t="s">
        <v>170</v>
      </c>
      <c r="E20" s="339" t="s">
        <v>171</v>
      </c>
      <c r="F20" s="194"/>
      <c r="G20" s="194"/>
      <c r="H20" s="194"/>
    </row>
    <row r="21" spans="1:8">
      <c r="A21" s="194"/>
      <c r="B21" s="334" t="str" cm="1">
        <f t="array" ref="B21">IF(Pathway=Units!$B$120,"Wind/solar electricity",
IF(Pathway=Units!$B$121,"Nuclear electricity",
IF(Pathway=Units!$B$122,"Grid electricity",
IF(Pathway=Units!$B$123,"Other electricity source - please specify",
IF(Pathway=Units!$B$124,"Wind/solar electricity",
IF(OR(Pathway=Units!$B$134:$B$135), "Biogenic fraction of mixed waste",
IF(Pathway=Units!$B$137, "No pathway selected", Initial_questions!$E$27)))))))</f>
        <v>No pathway selected</v>
      </c>
      <c r="C21" s="337" t="s">
        <v>172</v>
      </c>
      <c r="D21" s="336" cm="1">
        <f t="array" ref="D21">IF(Pathway=Units!$B$124, IFERROR(Initial_questions!E35/SUM(Initial_questions!$E$35:$E$38), "Yet to complete"), IF(OR(Pathway=Units!$B$134:$B$135), Waste_Gasification_CCS!$E$107, 100%))</f>
        <v>1</v>
      </c>
      <c r="E21" s="387" t="str" cm="1">
        <f t="array" ref="E21">IF(Pathway=Units!B120,GHG_ELECTROLYSIS!M15,
IF(Pathway=Units!B121,GHG_ELECTROLYSIS!M32,
IF(Pathway=Units!B122,GHG_ELECTROLYSIS!M49,
IF(Pathway=Units!B123,GHG_ELECTROLYSIS!M67,
IF(Pathway=Units!B124,GHG_ELECTROLYSIS!M15,
IF(OR(Pathway=Units!B125:B127),GHG_FOSSIL_REFORM_CCS!M16,
IF(OR(Pathway=Units!B128:B131),GHG_BIOMETHANE_REFORM!M18,
IF(OR(Pathway=Units!B132:B133),GHG_BIOMASS_GASIFICATION!M18,
IF(OR(Pathway=Units!B134:B135),GHG_WASTE_GASIFICATION!M18,
IF(Pathway=Units!B136,GHG_GENERIC_OTHER!M18,"No pathway selected"))))))))))</f>
        <v>No pathway selected</v>
      </c>
      <c r="F21" s="194"/>
      <c r="G21" s="194"/>
      <c r="H21" s="194"/>
    </row>
    <row r="22" spans="1:8">
      <c r="A22" s="194"/>
      <c r="B22" s="334" t="str" cm="1">
        <f t="array" ref="B22">IF(Pathway=Units!$B$124,"Nuclear electricity", IF(OR(Pathway=Units!$B$134:$B$135), "Fossil fraction of mixed waste", "Enter feedstock consignment 2 (if required)"))</f>
        <v>Enter feedstock consignment 2 (if required)</v>
      </c>
      <c r="C22" s="337" t="str" cm="1">
        <f t="array" ref="C22">IF(OR(Pathway=Units!$B$124, Pathway=Units!$B$134:$B$135),Units!$W$120,Units!$W$122)</f>
        <v>Not required</v>
      </c>
      <c r="D22" s="336" cm="1">
        <f t="array" ref="D22">IF(Pathway=Units!$B$124, IFERROR(Initial_questions!E36/SUM(Initial_questions!$E$35:$E$38), "Yet to complete"), IF(OR(Pathway=Units!$B$134:$B$135), Waste_Gasification_CCS!$E$108, 0%))</f>
        <v>0</v>
      </c>
      <c r="E22" s="387" t="str" cm="1">
        <f t="array" ref="E22">IF(Pathway=Units!B124,GHG_ELECTROLYSIS!M32, IF(OR(Pathway=Units!B134:B135),GHG_WASTE_GASIFICATION!M39, IF(C22=Units!$W$121, "Enter result from other workbook", "")))</f>
        <v/>
      </c>
      <c r="F22" s="194"/>
      <c r="G22" s="194"/>
      <c r="H22" s="194"/>
    </row>
    <row r="23" spans="1:8">
      <c r="A23" s="194"/>
      <c r="B23" s="334" t="str">
        <f>IF(Pathway=Units!$B$124,"Grid electricity",  "Enter feedstock consignment 3 (if required)")</f>
        <v>Enter feedstock consignment 3 (if required)</v>
      </c>
      <c r="C23" s="337" t="str">
        <f>IF(Pathway=Units!$B$124,Units!$W$120,Units!$W$122)</f>
        <v>Not required</v>
      </c>
      <c r="D23" s="336">
        <f>IF(Pathway=Units!$B$124, IFERROR(Initial_questions!E37/SUM(Initial_questions!$E$35:$E$38), "Yet to complete"), 0%)</f>
        <v>0</v>
      </c>
      <c r="E23" s="387" t="str">
        <f>IF(Pathway=Units!B124,GHG_ELECTROLYSIS!M49, IF(C23=Units!$W$121, "Enter result from other workbook", ""))</f>
        <v/>
      </c>
      <c r="F23" s="194"/>
      <c r="G23" s="194"/>
      <c r="H23" s="194"/>
    </row>
    <row r="24" spans="1:8">
      <c r="A24" s="194"/>
      <c r="B24" s="334" t="str">
        <f>IF(Pathway=Units!$B$124,"Other electricity source - please specify",  "Enter feedstock consignment 4 (if required)")</f>
        <v>Enter feedstock consignment 4 (if required)</v>
      </c>
      <c r="C24" s="337" t="str">
        <f>IF(Pathway=Units!$B$124,Units!$W$120,Units!$W$122)</f>
        <v>Not required</v>
      </c>
      <c r="D24" s="336">
        <f>IF(Pathway=Units!$B$124, IFERROR(Initial_questions!E38/SUM(Initial_questions!$E$35:$E$38), "Yet to complete"), 0%)</f>
        <v>0</v>
      </c>
      <c r="E24" s="387" t="str">
        <f>IF(Pathway=Units!B124,GHG_ELECTROLYSIS!M67, IF(C24=Units!$W$121, "Enter result from other workbook", ""))</f>
        <v/>
      </c>
      <c r="F24" s="194"/>
      <c r="G24" s="194"/>
      <c r="H24" s="194"/>
    </row>
    <row r="25" spans="1:8">
      <c r="A25" s="194"/>
      <c r="B25" s="334" t="s">
        <v>173</v>
      </c>
      <c r="C25" s="337" t="s">
        <v>174</v>
      </c>
      <c r="D25" s="336"/>
      <c r="E25" s="387"/>
      <c r="F25" s="194"/>
      <c r="G25" s="194"/>
      <c r="H25" s="194"/>
    </row>
    <row r="26" spans="1:8">
      <c r="B26" s="334" t="s">
        <v>175</v>
      </c>
      <c r="C26" s="337" t="s">
        <v>174</v>
      </c>
      <c r="D26" s="336"/>
      <c r="E26" s="387"/>
      <c r="G26" s="194"/>
      <c r="H26" s="194"/>
    </row>
    <row r="27" spans="1:8">
      <c r="A27" s="194"/>
      <c r="B27" s="333" t="s">
        <v>176</v>
      </c>
      <c r="C27" s="363"/>
      <c r="D27" s="364"/>
      <c r="E27" s="428" t="str">
        <f>IF(ISBLANK(Pathway),"No pathway selected",IF(SUM(D21:D26)&lt;&gt;100%, "% sum is not 100%", SUMPRODUCT(D21:D26,E21:E26)))</f>
        <v>No pathway selected</v>
      </c>
      <c r="F27" s="194"/>
      <c r="G27" s="194"/>
      <c r="H27" s="194"/>
    </row>
    <row r="28" spans="1:8">
      <c r="A28" s="194"/>
      <c r="B28" s="194"/>
      <c r="C28" s="194"/>
      <c r="D28" s="194"/>
      <c r="E28" s="194"/>
      <c r="F28" s="194"/>
      <c r="G28" s="194"/>
      <c r="H28" s="194"/>
    </row>
    <row r="29" spans="1:8">
      <c r="A29" s="194"/>
      <c r="B29" s="194"/>
      <c r="C29" s="194"/>
      <c r="D29" s="194"/>
      <c r="E29" s="194"/>
      <c r="F29" s="194"/>
      <c r="G29" s="194"/>
      <c r="H29" s="194"/>
    </row>
    <row r="30" spans="1:8">
      <c r="A30" s="194"/>
      <c r="B30" s="194"/>
      <c r="C30" s="194"/>
      <c r="D30" s="194"/>
      <c r="E30" s="194"/>
      <c r="F30" s="194"/>
      <c r="G30" s="194"/>
      <c r="H30" s="194"/>
    </row>
    <row r="31" spans="1:8">
      <c r="A31" s="194"/>
      <c r="B31" s="194"/>
      <c r="C31" s="194"/>
      <c r="D31" s="194"/>
      <c r="E31" s="194"/>
      <c r="F31" s="194"/>
      <c r="G31" s="194"/>
      <c r="H31" s="194"/>
    </row>
    <row r="32" spans="1:8">
      <c r="A32" s="194"/>
      <c r="B32" s="194"/>
      <c r="C32" s="194"/>
      <c r="D32" s="194"/>
      <c r="E32" s="194"/>
      <c r="F32" s="194"/>
      <c r="G32" s="194"/>
      <c r="H32" s="194"/>
    </row>
    <row r="33" spans="1:8">
      <c r="A33" s="194"/>
      <c r="B33" s="194"/>
      <c r="C33" s="194"/>
      <c r="D33" s="194"/>
      <c r="E33" s="194"/>
      <c r="F33" s="194"/>
      <c r="G33" s="194"/>
      <c r="H33" s="194"/>
    </row>
    <row r="34" spans="1:8">
      <c r="A34" s="194"/>
      <c r="B34" s="194"/>
      <c r="C34" s="194"/>
      <c r="D34" s="194"/>
      <c r="E34" s="194"/>
      <c r="F34" s="194"/>
      <c r="G34" s="194"/>
      <c r="H34" s="194"/>
    </row>
    <row r="35" spans="1:8">
      <c r="A35" s="194"/>
      <c r="B35" s="194"/>
      <c r="C35" s="194"/>
      <c r="D35" s="194"/>
      <c r="E35" s="194"/>
      <c r="F35" s="194"/>
      <c r="G35" s="194"/>
      <c r="H35" s="194"/>
    </row>
    <row r="36" spans="1:8">
      <c r="A36" s="194"/>
      <c r="B36" s="194"/>
      <c r="C36" s="194"/>
      <c r="D36" s="194"/>
      <c r="E36" s="194"/>
      <c r="F36" s="194"/>
      <c r="G36" s="194"/>
      <c r="H36" s="194"/>
    </row>
    <row r="37" spans="1:8">
      <c r="A37" s="194"/>
      <c r="B37" s="194"/>
      <c r="C37" s="194"/>
      <c r="D37" s="194"/>
      <c r="E37" s="194"/>
      <c r="F37" s="194"/>
      <c r="G37" s="194"/>
      <c r="H37" s="194"/>
    </row>
    <row r="38" spans="1:8">
      <c r="A38" s="194"/>
      <c r="B38" s="194"/>
      <c r="C38" s="194"/>
      <c r="D38" s="194"/>
      <c r="E38" s="194"/>
      <c r="F38" s="194"/>
      <c r="G38" s="194"/>
      <c r="H38" s="194"/>
    </row>
    <row r="39" spans="1:8">
      <c r="A39" s="194"/>
      <c r="B39" s="194"/>
      <c r="C39" s="194"/>
      <c r="D39" s="194"/>
      <c r="E39" s="194"/>
      <c r="F39" s="194"/>
      <c r="G39" s="194"/>
      <c r="H39" s="194"/>
    </row>
  </sheetData>
  <customSheetViews>
    <customSheetView guid="{43B6AE9C-E429-4506-98F3-C388B54AB8B6}" showGridLines="0">
      <selection activeCell="D1" sqref="D1"/>
      <pageMargins left="0" right="0" top="0" bottom="0" header="0" footer="0"/>
      <pageSetup paperSize="9" orientation="portrait" horizontalDpi="90" verticalDpi="90" r:id="rId1"/>
    </customSheetView>
    <customSheetView guid="{D41C0D8C-591E-4B34-99B3-B45BA51A58EC}" showGridLines="0">
      <selection activeCell="D1" sqref="D1"/>
      <pageMargins left="0" right="0" top="0" bottom="0" header="0" footer="0"/>
      <pageSetup paperSize="9" orientation="portrait" horizontalDpi="90" verticalDpi="90" r:id="rId2"/>
    </customSheetView>
    <customSheetView guid="{8F590910-6C03-4233-9C41-6540BF2DE453}" showGridLines="0">
      <selection activeCell="D1" sqref="D1"/>
      <pageMargins left="0" right="0" top="0" bottom="0" header="0" footer="0"/>
      <pageSetup paperSize="9" orientation="portrait" horizontalDpi="90" verticalDpi="90" r:id="rId3"/>
    </customSheetView>
    <customSheetView guid="{55CEC4CC-9BBF-4F2D-BA17-E94F4B26FAC5}" showGridLines="0">
      <selection activeCell="D1" sqref="D1"/>
      <pageMargins left="0" right="0" top="0" bottom="0" header="0" footer="0"/>
      <pageSetup paperSize="9" orientation="portrait" horizontalDpi="90" verticalDpi="90" r:id="rId4"/>
    </customSheetView>
    <customSheetView guid="{7735C88E-3A13-4DCF-BB32-4D20A306A8BB}" showGridLines="0">
      <selection activeCell="D1" sqref="D1"/>
      <pageMargins left="0" right="0" top="0" bottom="0" header="0" footer="0"/>
      <pageSetup paperSize="9" orientation="portrait" horizontalDpi="90" verticalDpi="90" r:id="rId5"/>
    </customSheetView>
    <customSheetView guid="{27B9E3C6-8189-41E0-896B-02A30393FDC0}" showGridLines="0">
      <selection activeCell="D1" sqref="D1"/>
      <pageMargins left="0" right="0" top="0" bottom="0" header="0" footer="0"/>
      <pageSetup paperSize="9" orientation="portrait" horizontalDpi="90" verticalDpi="90" r:id="rId6"/>
    </customSheetView>
    <customSheetView guid="{ED9AC919-98EB-43A3-A158-23FD7D007D30}" showGridLines="0">
      <selection activeCell="D1" sqref="D1"/>
      <pageMargins left="0" right="0" top="0" bottom="0" header="0" footer="0"/>
      <pageSetup paperSize="9" orientation="portrait" horizontalDpi="90" verticalDpi="90" r:id="rId7"/>
    </customSheetView>
  </customSheetViews>
  <phoneticPr fontId="94" type="noConversion"/>
  <dataValidations count="4">
    <dataValidation type="list" allowBlank="1" showInputMessage="1" showErrorMessage="1" sqref="C21:C26" xr:uid="{2460ED2E-F8A5-4555-AC0F-D7E5B2793D29}">
      <formula1>Data_location</formula1>
    </dataValidation>
    <dataValidation type="custom" allowBlank="1" showInputMessage="1" showErrorMessage="1" error="Please do not change" sqref="B12:B15 C14 B4:B10" xr:uid="{22F2D300-634E-4708-BA92-0D92B4605FF2}">
      <formula1>"Please do not change"</formula1>
    </dataValidation>
    <dataValidation type="custom" allowBlank="1" showInputMessage="1" showErrorMessage="1" error="Please do not change this formula" prompt="Please do not change this formula" sqref="C6:C13 C15 C5 C4" xr:uid="{41098B2A-E04B-4980-978D-9986F4EB26FC}">
      <formula1>"Please do not change this formula"</formula1>
    </dataValidation>
    <dataValidation type="custom" allowBlank="1" showInputMessage="1" showErrorMessage="1" error="Please do not change" prompt="Please do not change" sqref="D12 D7" xr:uid="{48B26D5E-0C6E-4339-A8A5-F40EF69C8D17}">
      <formula1>"Please do not change"</formula1>
    </dataValidation>
  </dataValidations>
  <pageMargins left="0" right="0" top="0" bottom="0" header="0" footer="0"/>
  <pageSetup paperSize="9" orientation="portrait" horizontalDpi="90" verticalDpi="90" r:id="rId8"/>
  <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ADFD9C52B52A5458F7296E774CFEA32" ma:contentTypeVersion="23" ma:contentTypeDescription="Create a new document." ma:contentTypeScope="" ma:versionID="c611e0053878569c794107d4dd576359">
  <xsd:schema xmlns:xsd="http://www.w3.org/2001/XMLSchema" xmlns:xs="http://www.w3.org/2001/XMLSchema" xmlns:p="http://schemas.microsoft.com/office/2006/metadata/properties" xmlns:ns2="7e035a4e-85e7-44bb-9ff7-ddaad750804e" xmlns:ns3="0063f72e-ace3-48fb-9c1f-5b513408b31f" xmlns:ns4="b413c3fd-5a3b-4239-b985-69032e371c04" xmlns:ns5="a8f60570-4bd3-4f2b-950b-a996de8ab151" xmlns:ns6="aaacb922-5235-4a66-b188-303b9b46fbd7" xmlns:ns7="8276ee07-bd0a-41c9-ad8c-261cf408d650" targetNamespace="http://schemas.microsoft.com/office/2006/metadata/properties" ma:root="true" ma:fieldsID="3e7829b4201e547409f4249cc1f8bbf2" ns2:_="" ns3:_="" ns4:_="" ns5:_="" ns6:_="" ns7:_="">
    <xsd:import namespace="7e035a4e-85e7-44bb-9ff7-ddaad750804e"/>
    <xsd:import namespace="0063f72e-ace3-48fb-9c1f-5b513408b31f"/>
    <xsd:import namespace="b413c3fd-5a3b-4239-b985-69032e371c04"/>
    <xsd:import namespace="a8f60570-4bd3-4f2b-950b-a996de8ab151"/>
    <xsd:import namespace="aaacb922-5235-4a66-b188-303b9b46fbd7"/>
    <xsd:import namespace="8276ee07-bd0a-41c9-ad8c-261cf408d650"/>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AutoKeyPoints" minOccurs="0"/>
                <xsd:element ref="ns7:MediaServiceKeyPoints" minOccurs="0"/>
                <xsd:element ref="ns2:SharedWithUsers" minOccurs="0"/>
                <xsd:element ref="ns2:SharedWithDetails" minOccurs="0"/>
                <xsd:element ref="ns7:MediaServiceDateTaken" minOccurs="0"/>
                <xsd:element ref="ns7:MediaServiceAutoTags" minOccurs="0"/>
                <xsd:element ref="ns7:MediaServiceOCR" minOccurs="0"/>
                <xsd:element ref="ns7:MediaServiceGenerationTime" minOccurs="0"/>
                <xsd:element ref="ns7:MediaServiceEventHashCode" minOccurs="0"/>
                <xsd:element ref="ns7:MediaLengthInSeconds" minOccurs="0"/>
                <xsd:element ref="ns7: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035a4e-85e7-44bb-9ff7-ddaad750804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BEIS:Energy, Transformation and Clean Growth:Industrial Energy|196d2126-cc91-40b4-bd0b-d2f757bf15bb"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e790f860-9c94-4012-82b7-d88fa51b03a6}" ma:internalName="TaxCatchAll" ma:showField="CatchAllData" ma:web="7e035a4e-85e7-44bb-9ff7-ddaad750804e">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e790f860-9c94-4012-82b7-d88fa51b03a6}" ma:internalName="TaxCatchAllLabel" ma:readOnly="true" ma:showField="CatchAllDataLabel" ma:web="7e035a4e-85e7-44bb-9ff7-ddaad750804e">
      <xsd:complexType>
        <xsd:complexContent>
          <xsd:extension base="dms:MultiChoiceLookup">
            <xsd:sequence>
              <xsd:element name="Value" type="dms:Lookup" maxOccurs="unbounded" minOccurs="0" nillable="true"/>
            </xsd:sequence>
          </xsd:extension>
        </xsd:complexContent>
      </xsd:complex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76ee07-bd0a-41c9-ad8c-261cf408d650"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DateTaken" ma:index="28" nillable="true" ma:displayName="MediaServiceDateTaken" ma:hidden="true" ma:internalName="MediaServiceDateTaken" ma:readOnly="true">
      <xsd:simpleType>
        <xsd:restriction base="dms:Text"/>
      </xsd:simpleType>
    </xsd:element>
    <xsd:element name="MediaServiceAutoTags" ma:index="29" nillable="true" ma:displayName="Tags" ma:internalName="MediaServiceAutoTags"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LengthInSeconds" ma:index="33" nillable="true" ma:displayName="MediaLengthInSeconds" ma:hidden="true" ma:internalName="MediaLengthInSeconds" ma:readOnly="true">
      <xsd:simpleType>
        <xsd:restriction base="dms:Unknown"/>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7e035a4e-85e7-44bb-9ff7-ddaad750804e">
      <UserInfo>
        <DisplayName>E4Tech-Document Co-Authoring Centre Visitors</DisplayName>
        <AccountId>4</AccountId>
        <AccountType/>
      </UserInfo>
      <UserInfo>
        <DisplayName>E4tech consulting</DisplayName>
        <AccountId>69</AccountId>
        <AccountType/>
      </UserInfo>
    </SharedWithUsers>
    <TaxCatchAll xmlns="7e035a4e-85e7-44bb-9ff7-ddaad750804e" xsi:nil="true"/>
    <lcf76f155ced4ddcb4097134ff3c332f xmlns="8276ee07-bd0a-41c9-ad8c-261cf408d650">
      <Terms xmlns="http://schemas.microsoft.com/office/infopath/2007/PartnerControls"/>
    </lcf76f155ced4ddcb4097134ff3c332f>
    <Government_x0020_Body xmlns="b413c3fd-5a3b-4239-b985-69032e371c04">BEIS</Government_x0020_Body>
    <Date_x0020_Opened xmlns="b413c3fd-5a3b-4239-b985-69032e371c04">2022-09-20T14:55:55+00:00</Date_x0020_Opened>
    <LegacyData xmlns="aaacb922-5235-4a66-b188-303b9b46fbd7" xsi:nil="true"/>
    <Descriptor xmlns="0063f72e-ace3-48fb-9c1f-5b513408b31f" xsi:nil="true"/>
    <Security_x0020_Classification xmlns="0063f72e-ace3-48fb-9c1f-5b513408b31f">OFFICIAL</Security_x0020_Classification>
    <m975189f4ba442ecbf67d4147307b177 xmlns="7e035a4e-85e7-44bb-9ff7-ddaad750804e">
      <Terms xmlns="http://schemas.microsoft.com/office/infopath/2007/PartnerControls">
        <TermInfo xmlns="http://schemas.microsoft.com/office/infopath/2007/PartnerControls">
          <TermName xmlns="http://schemas.microsoft.com/office/infopath/2007/PartnerControls">BEIS:Energy, Transformation and Clean Growth:Industrial Energy</TermName>
          <TermId xmlns="http://schemas.microsoft.com/office/infopath/2007/PartnerControls">196d2126-cc91-40b4-bd0b-d2f757bf15bb</TermId>
        </TermInfo>
      </Terms>
    </m975189f4ba442ecbf67d4147307b177>
    <Retention_x0020_Label xmlns="a8f60570-4bd3-4f2b-950b-a996de8ab151" xsi:nil="true"/>
    <Date_x0020_Closed xmlns="b413c3fd-5a3b-4239-b985-69032e371c04" xsi:nil="true"/>
    <_dlc_DocId xmlns="7e035a4e-85e7-44bb-9ff7-ddaad750804e">QW5YDJAYTMJW-1604619768-7739</_dlc_DocId>
    <_dlc_DocIdUrl xmlns="7e035a4e-85e7-44bb-9ff7-ddaad750804e">
      <Url>https://beisgov.sharepoint.com/sites/NZHF/_layouts/15/DocIdRedir.aspx?ID=QW5YDJAYTMJW-1604619768-7739</Url>
      <Description>QW5YDJAYTMJW-1604619768-7739</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71C94A4-F242-4BD1-8F55-66C80937BD99}"/>
</file>

<file path=customXml/itemProps2.xml><?xml version="1.0" encoding="utf-8"?>
<ds:datastoreItem xmlns:ds="http://schemas.openxmlformats.org/officeDocument/2006/customXml" ds:itemID="{4F430AE4-1BB4-432E-8FFD-9620639F63EF}">
  <ds:schemaRefs>
    <ds:schemaRef ds:uri="http://schemas.microsoft.com/office/2006/metadata/properties"/>
    <ds:schemaRef ds:uri="http://schemas.microsoft.com/office/infopath/2007/PartnerControls"/>
    <ds:schemaRef ds:uri="8f9f480b-59e1-45bd-9ebc-650d595eb90c"/>
    <ds:schemaRef ds:uri="2c180e91-cdbb-4f8d-816b-a8a10b4b6723"/>
    <ds:schemaRef ds:uri="6efd9bda-5fdd-49f3-9692-c2f57a8f124d"/>
  </ds:schemaRefs>
</ds:datastoreItem>
</file>

<file path=customXml/itemProps3.xml><?xml version="1.0" encoding="utf-8"?>
<ds:datastoreItem xmlns:ds="http://schemas.openxmlformats.org/officeDocument/2006/customXml" ds:itemID="{9E7ECBB3-2596-4F0C-A0D5-52929F551A37}">
  <ds:schemaRefs>
    <ds:schemaRef ds:uri="http://schemas.microsoft.com/sharepoint/v3/contenttype/forms"/>
  </ds:schemaRefs>
</ds:datastoreItem>
</file>

<file path=customXml/itemProps4.xml><?xml version="1.0" encoding="utf-8"?>
<ds:datastoreItem xmlns:ds="http://schemas.openxmlformats.org/officeDocument/2006/customXml" ds:itemID="{F0F96177-DE4C-47E8-BAA6-734514B281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33</vt:i4>
      </vt:variant>
    </vt:vector>
  </HeadingPairs>
  <TitlesOfParts>
    <vt:vector size="83" baseType="lpstr">
      <vt:lpstr>Title</vt:lpstr>
      <vt:lpstr>Navigation</vt:lpstr>
      <vt:lpstr>Guidance Initial_questions</vt:lpstr>
      <vt:lpstr>Guidance Processing</vt:lpstr>
      <vt:lpstr>Guidance Feedstock dLUC</vt:lpstr>
      <vt:lpstr>Guidance Summary GHG</vt:lpstr>
      <vt:lpstr>Initial_questions</vt:lpstr>
      <vt:lpstr>System_Boundary</vt:lpstr>
      <vt:lpstr>Dashboard</vt:lpstr>
      <vt:lpstr>Units</vt:lpstr>
      <vt:lpstr>Assumptions</vt:lpstr>
      <vt:lpstr>Default data</vt:lpstr>
      <vt:lpstr>GHG_ELECTROLYSIS</vt:lpstr>
      <vt:lpstr>GHG_FOSSIL_REFORM_CCS</vt:lpstr>
      <vt:lpstr>GHG_BIOMETHANE_REFORM</vt:lpstr>
      <vt:lpstr>GHG_BIOMASS_GASIFICATION</vt:lpstr>
      <vt:lpstr>GHG_WASTE_GASIFICATION</vt:lpstr>
      <vt:lpstr>GHG_GENERIC_OTHER</vt:lpstr>
      <vt:lpstr>Electrolysis</vt:lpstr>
      <vt:lpstr>NG_Collection</vt:lpstr>
      <vt:lpstr>NG_Transport</vt:lpstr>
      <vt:lpstr>NG_Processing</vt:lpstr>
      <vt:lpstr>NG_Further_Transport</vt:lpstr>
      <vt:lpstr>NG_Reforming_CCS</vt:lpstr>
      <vt:lpstr>Biogas_Feedstock_Cultivation</vt:lpstr>
      <vt:lpstr>Biogas_Feedstock_Harvesting</vt:lpstr>
      <vt:lpstr>Biogas_Feedstock_Collection</vt:lpstr>
      <vt:lpstr>Biogas_Feedstock_Transport</vt:lpstr>
      <vt:lpstr>Biogas+Biomethane_Upgrading</vt:lpstr>
      <vt:lpstr>Biomethane_Transport</vt:lpstr>
      <vt:lpstr>Biomethane_Reforming_CCS</vt:lpstr>
      <vt:lpstr>Biomass_Cultivation</vt:lpstr>
      <vt:lpstr>Biomass_Harvesting</vt:lpstr>
      <vt:lpstr>Biomass_Collection</vt:lpstr>
      <vt:lpstr>Biomass_Transport</vt:lpstr>
      <vt:lpstr>Biomass_Pre-Processing</vt:lpstr>
      <vt:lpstr>Biomass_Further_Transport</vt:lpstr>
      <vt:lpstr>Biomass_Gasification_CCS</vt:lpstr>
      <vt:lpstr>Waste_Collection</vt:lpstr>
      <vt:lpstr>Waste_Transport</vt:lpstr>
      <vt:lpstr>Waste_Pre-Processing</vt:lpstr>
      <vt:lpstr>Waste_Further_Transport</vt:lpstr>
      <vt:lpstr>Waste_Gasification_CCS</vt:lpstr>
      <vt:lpstr>Generic_Feedstock_Cultivation</vt:lpstr>
      <vt:lpstr>Generic_Feedstock_Harvesting</vt:lpstr>
      <vt:lpstr>Generic_Feedstock_Collection</vt:lpstr>
      <vt:lpstr>Generic_Feedstock_Transport</vt:lpstr>
      <vt:lpstr>Generic_Pre-Processing</vt:lpstr>
      <vt:lpstr>Generic_Further_Transport</vt:lpstr>
      <vt:lpstr>Generic_Conversion</vt:lpstr>
      <vt:lpstr>bbl_to_USgal</vt:lpstr>
      <vt:lpstr>bio</vt:lpstr>
      <vt:lpstr>Biomethane</vt:lpstr>
      <vt:lpstr>Capture</vt:lpstr>
      <vt:lpstr>Case</vt:lpstr>
      <vt:lpstr>Commission</vt:lpstr>
      <vt:lpstr>Conversion_kWh_to_MJ</vt:lpstr>
      <vt:lpstr>Credit</vt:lpstr>
      <vt:lpstr>Data</vt:lpstr>
      <vt:lpstr>Data_location</vt:lpstr>
      <vt:lpstr>electro</vt:lpstr>
      <vt:lpstr>Feedstock</vt:lpstr>
      <vt:lpstr>Flow_units</vt:lpstr>
      <vt:lpstr>Fossil</vt:lpstr>
      <vt:lpstr>Gas</vt:lpstr>
      <vt:lpstr>Hydrogen_flow</vt:lpstr>
      <vt:lpstr>iluc</vt:lpstr>
      <vt:lpstr>kWh_to_MJ</vt:lpstr>
      <vt:lpstr>Location</vt:lpstr>
      <vt:lpstr>Master_Switch</vt:lpstr>
      <vt:lpstr>Offset</vt:lpstr>
      <vt:lpstr>Output_pressure</vt:lpstr>
      <vt:lpstr>Output_purity</vt:lpstr>
      <vt:lpstr>Output_temperature</vt:lpstr>
      <vt:lpstr>Pathway</vt:lpstr>
      <vt:lpstr>Pathway_choice</vt:lpstr>
      <vt:lpstr>Pathway_list</vt:lpstr>
      <vt:lpstr>Proj_or_def</vt:lpstr>
      <vt:lpstr>Proj_or_mix</vt:lpstr>
      <vt:lpstr>Risk</vt:lpstr>
      <vt:lpstr>Status</vt:lpstr>
      <vt:lpstr>Sustainability</vt:lpstr>
      <vt:lpstr>Switch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 Taylor</dc:creator>
  <cp:keywords/>
  <dc:description/>
  <cp:lastModifiedBy>Richard Taylor</cp:lastModifiedBy>
  <cp:revision/>
  <dcterms:created xsi:type="dcterms:W3CDTF">2012-01-05T14:11:32Z</dcterms:created>
  <dcterms:modified xsi:type="dcterms:W3CDTF">2022-09-20T13:15:08Z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0x0101006ADFD9C52B52A5458F7296E774CFEA32</vt:lpwstr>
  </property>
  <property fmtid="{D5CDD505-2E9C-101B-9397-08002B2CF9AE}" pid="3" name="URL">
    <vt:lpwstr/>
  </property>
  <property fmtid="{D5CDD505-2E9C-101B-9397-08002B2CF9AE}" pid="4" name="_ExtendedDescription">
    <vt:lpwstr/>
  </property>
  <property fmtid="{D5CDD505-2E9C-101B-9397-08002B2CF9AE}" pid="5" name="MediaServiceImageTags">
    <vt:lpwstr/>
  </property>
  <property fmtid="{D5CDD505-2E9C-101B-9397-08002B2CF9AE}" pid="6" name="Business Unit">
    <vt:lpwstr>1;#BEIS:Energy, Transformation and Clean Growth:Industrial Energy|196d2126-cc91-40b4-bd0b-d2f757bf15bb</vt:lpwstr>
  </property>
  <property fmtid="{D5CDD505-2E9C-101B-9397-08002B2CF9AE}" pid="7" name="_dlc_DocIdItemGuid">
    <vt:lpwstr>5892c36c-26a0-4f25-b096-2ba11d7950b0</vt:lpwstr>
  </property>
</Properties>
</file>